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2025\09\"/>
    </mc:Choice>
  </mc:AlternateContent>
  <bookViews>
    <workbookView xWindow="0" yWindow="0" windowWidth="20490" windowHeight="7155"/>
  </bookViews>
  <sheets>
    <sheet name="Відібрано записів - 1221" sheetId="1" r:id="rId1"/>
    <sheet name="Фільтри" sheetId="2" r:id="rId2"/>
  </sheets>
  <definedNames>
    <definedName name="_firstRow">'Відібрано записів - 1221'!$F$5</definedName>
    <definedName name="_lastColumn">'Відібрано записів - 1221'!$F$6</definedName>
    <definedName name="_xlnm._FilterDatabase" localSheetId="0" hidden="1">'Відібрано записів - 1221'!$B$1:$E$1223</definedName>
    <definedName name="hl_0">'Відібрано записів - 1221'!$F$8</definedName>
    <definedName name="hn_0">'Відібрано записів - 1221'!$F$9</definedName>
  </definedNames>
  <calcPr calcId="152511"/>
</workbook>
</file>

<file path=xl/calcChain.xml><?xml version="1.0" encoding="utf-8"?>
<calcChain xmlns="http://schemas.openxmlformats.org/spreadsheetml/2006/main">
  <c r="B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alcChain>
</file>

<file path=xl/sharedStrings.xml><?xml version="1.0" encoding="utf-8"?>
<sst xmlns="http://schemas.openxmlformats.org/spreadsheetml/2006/main" count="3677" uniqueCount="659">
  <si>
    <t>Порівняння</t>
  </si>
  <si>
    <t>Назва фільтру</t>
  </si>
  <si>
    <t>Перше значення</t>
  </si>
  <si>
    <t>Друге значення</t>
  </si>
  <si>
    <t>ОВ</t>
  </si>
  <si>
    <t>Заробітна плата / Оперативні вакансії</t>
  </si>
  <si>
    <t>Посада (довідник) / Характеристика вакансії</t>
  </si>
  <si>
    <t>Місце виконання робіт / Оперативні вакансії</t>
  </si>
  <si>
    <t>Основні функціональні обов’язки / Характеристика вакансії</t>
  </si>
  <si>
    <t>http://10.1.0.83/dczeias/Lnk.aspx?t=VACCard&amp;k=FormSearch&amp;c=Edit&amp;n.ID={0}&amp;n.IsVacID=1&amp;Excel=1</t>
  </si>
  <si>
    <t>7241(60), електрослюсар (слюсар) черговий та з ремонту устаткування</t>
  </si>
  <si>
    <t>UA46120130010071117, Львівська область, Шептицький, Червоноградська міська ТГ, Шептицький</t>
  </si>
  <si>
    <t>РОБОТА НА ПОВЕРХНІ ШАХТИ ПОВ'ЯЗАНА З ОБСЛУГОВУВАННЯМ ТА РЕМОНТОМ ЕЛЕКТРОУСТАТКУВАННЯ.
 ЗА БІЛЬШ ДЕТАЛЬНОЮ ІНФОРМАЦІЄЮ ЗВЕРТАТИСЯ ДО ТЕТЯНИ РОМАНІВНИ</t>
  </si>
  <si>
    <t>7111(23), прохідник</t>
  </si>
  <si>
    <t>РОБОТА ПІД ЗЕМЛЕЮ, ПОВ'ЯЗАНА З ПРОХОДЖЕННЯМ РОБІТ НА ДІЛЬНИЦІ ПРОХІДНИЦЬКИХ РОБІТ. ЗА БІЛЬШ ДЕТАЛЬНОЮ ІНФОРМАЦІЄЮ ЗВЕРТАТИСЯ ДО ТЕТЯНИ РОМАНІВНИ.</t>
  </si>
  <si>
    <t>9322(177), підсобний робітник</t>
  </si>
  <si>
    <t>UA46120130090054472, Львівська область, Шептицький, Червоноградська міська ТГ, Добрячин</t>
  </si>
  <si>
    <t>Робота на млині,  розмелювання продовольчих та фуражних культур (зернових, бобових та ін.) на вальцьових млинах  із виконанням операцій з підготовки зернопродуктів до помелу: очищає зернову масу від домішок, очищає поверхню зерна, гідротермічно оброблює зерно, готує помельні суміші.</t>
  </si>
  <si>
    <t>7111(3), гірник з ремонту гірничих виробок</t>
  </si>
  <si>
    <t>UA46120130100077494, Львівська область, Шептицький, Червоноградська міська ТГ, Межиріччя</t>
  </si>
  <si>
    <t>Виконує настилання та встановлення рейкової колії, проводить ремонт рейкової колії та гірничих виробок, проводить перекріплення гірничих виробок.</t>
  </si>
  <si>
    <t>7436(7), швачка</t>
  </si>
  <si>
    <t>ПООПЕРАЦІЙНЕ ПОШИТТЯ ШКІРЯНИХ СИДІНЬ ДЛЯ АВТОМОБІЛІВ.
ЗА БІЛЬШ ДЕТАЛЬНОЮ ІНФОРМАЦІЄЮ ЗВЕРТАТИСЯ ДО ТЕТЯНИ ІВАНІВНИ</t>
  </si>
  <si>
    <t>8333(18), машиніст підземних установок</t>
  </si>
  <si>
    <t>РОБОТА В ПІДЗЕМНИХ УМОВАХ, ПОВЯЗАНА З КЕРУВАННЯМ НАСОСНИХ ТА ВУГЛЕСОСНИХ УСТАНОВОК, ЕРЛІФНИМИ ПІДЙОМАМИ, СКРЕПЕРНИМИ ТА МАНЕВРОВИМИ ЛЕБІДКАМИ, ПЕРЕКИДАЧАМИ, ПРИСТРОЯМИ ДЛЯ МЕХАНІЧНОГО ОЧИЩЕННЯ ВАГОНЕТОК.
ЗА БІЛЬШ ДЕТАЛЬНОЮ ІНФОРМАЦІЄЮ ЗВЕРТАТИСЯ ДО ТЕТЯНИ РОМАНІВНИ.</t>
  </si>
  <si>
    <t>UA46120010060065896, Львівська область, Шептицький, Белзька міська ТГ, Глухів</t>
  </si>
  <si>
    <t>ВИКОНУЄ НАСТИЛАННЯ ПОСТІЙНОЇ АБО ТИМЧАСОВОЇ КОЛІЇ В ГІРНИЧИХ ВИРОБКАХ.ЗДІЙСНЮЄ ОБСЛУГОВУВАННЯ ЗАСТОСОВУВАЛЬНИХ МАШИН ТА УСУНЕННЯ ДРІБНИХ НЕПОЛАДОК У ЇХ РОБОТІ.ПЕРЕКРІПЛЮЄ ГІРНИЧІ ВИРОБКИ.
ЗА БІЛЬШ ДЕТАЛЬНОЮ ІНФОРМАЦІЄЮ ЗВЕРТАТИСЯ ДО МАРІЇ МИКОЛАЇВНИ.</t>
  </si>
  <si>
    <t>7129(1), бруківник</t>
  </si>
  <si>
    <t>РОБОТА З БЛАГОУСТРОЮ ТЕРИТОРІЇ З БРУКІВКИ ТА ОСНОВИ ПІД НЕЇ З ДОТРИМАННЯМ ВИМОГ З ОХОРОНИ ПРАЦІ У МІСТІ ШЕПТИЦЬКИЙ.
ЗА БІЛЬШ ДЕТАЛЬНОЮ ІНФОРМАЦІЄЮ З ВЕРТАТИСЯ ДО ТЕТЯНИ РОМАНІВНИ.</t>
  </si>
  <si>
    <t>7423(2), верстатник деревообробних верстатів</t>
  </si>
  <si>
    <t>UA46120130110018024, Львівська область, Шептицький, Червоноградська міська ТГ, Острів</t>
  </si>
  <si>
    <t>ВИКОНУЄ ПОЗДОВЖНІЙ ТА ПОПЕРЕЧНИЙ РОЗКРІЙ ПИЛОМАТЕРІАЛІВ З ДЕРЕВИНИ М'ЯКИХ ПОРІД НА ОДНОПИЛЬНИХ ВЕРСТАТАХ. ВИПИЛЮЄ ДЕТАЛІ З ДЕРЕВИНИ М'ЯКИХ ПОРІД ЗА РОЗМІТКОЮ НА СТРІЧКО ПИЛЯЛЬНИХ ВЕРСТАТАХ. РОЗКРОЮЄ ПОПЕРЕДНЬО ПРОПАРЕНІ БРУСКИ, ЗАГОТОВКИ, ГНУТОКЛЕЄНІ, ГНУТІ ДЕТАЛІ. ВИКОНУЄ ФОРМУВАННЯ НЕЛИЧКОВАНИХ ЩИТІВ, РАМОК У ЗАДНІЙ РОЗМІР НА ОДНОПИЛЬНИХ ВЕРСТАТАХ. 
ЗА БІЛЬШ ДЕТАЛЬНОЮ ІНФОРМАЦІЄЮ ЗВЕРТАТИСЯ ДО МАРІЇ МИКОЛАЇВНИ.</t>
  </si>
  <si>
    <t>7411(8), забивач худоби</t>
  </si>
  <si>
    <t>UA46120110210087749, Львівська область, Шептицький, Сокальська міська ТГ, Комарів</t>
  </si>
  <si>
    <t xml:space="preserve">ВИКОНАННЯ РОБІТ ТА ОКРЕМИХ ОПЕРАЦІЙ СЕРЕДНЬОЇ СКЛАДНОСТІ ПРИ ЗАБОЇ І  ПЕРЕРОБЦІ СВИНЕЙ. ОГЛУШЕННЯ, НАКЛАДАННЯ ПУТОВИХ ЛАНЦЮГІВ І ПІДЙОМ ТВАРИНИ ЗА ДОПОМОГОЮ ПІДЙОМНИХ МЕХАНІЗМІВ. ВИЇМКА НИРОК  І НИРКОВОГО ЖИРУ З ТУШ ВЕЛИКОЇ РОГАТОЇ ХУДОБИ І СВИНЕЙ.
За більш детальною інформацією звертатися до Марії Миколаївни.
</t>
  </si>
  <si>
    <t>ПРОВОДИТЬ ВИТЯГАННЯ, КРІПЛЕННЯ ТА ЛІКВІДАЦІЮ ГІРНИЧИХ ВИРОБОК, ЗАМІНУ РАМ ТА ЕЛЕМЕНТІВ ВИДІВ КРІПЛЕННЯ.БУРІННЯ ШПУРІВ РУЧНИМИ ТА  КОЛОНКОВИМИ ЕЛЕКТРОСВЕРДЛАМИ.КЛАДКА КОСТРІВ НАД РАМАМИ.РОЗБИРАННЯ КРІПЛЕННЯ МІСЦЬ ЗАВАЛІВ ВИРОБОК.
За більш детальною інформацією звертатися до Анжели Григорівни.</t>
  </si>
  <si>
    <t>2445.2, психолог</t>
  </si>
  <si>
    <t xml:space="preserve"> Організовувати і проводити роботу із військовослужбовцями, проводити їх консультування .Надавати психологічну підтримку інвалідам війни, учасникам бойових дій, ветеранам війни та членам їх сімей, членам сімей загиблих (померлих) Захисників та Захисниць України</t>
  </si>
  <si>
    <t>8333(24), машиніст скреперної лебідки</t>
  </si>
  <si>
    <t>UA46120130140066919, Львівська область, Шептицький, Червоноградська міська ТГ, Сілець</t>
  </si>
  <si>
    <t>Керує скреперними лебідками потужністю до 55 кВт і скреперними лебідками до 38 кВт, обладнаними човниково-перекривають пристроями, під час соскребания гірської маси поза зоною вибою, зіскребає відходи збагачення.Зачищає і вирівнює покрівлю пласта корисних копалин після видалення покривних порід.Закріплює і переважує блоки, перевіряє заземлення, сточує і замінює канати, бере участь у монтажі, демонтажі, перенесенні і ремонті устаткування.</t>
  </si>
  <si>
    <t>7214(12), монтажник з монтажу сталевих та залізобетонних конструкцій</t>
  </si>
  <si>
    <t xml:space="preserve">Монтаж сталевих конструкцій (колони, балки, ферми, зв’язки тощо)
Установка та кріплення залізобетонних елементів (панелі, плити, ригелі)
Робота з вантажопідіймальними механізмами (кранами, тельферами)
Виконання розмітки за кресленнями
Підготовка місць монтажу: очищення, вирівнювання, підгонка елементів
</t>
  </si>
  <si>
    <t>9162(3), робітник з комплексного прибирання та утримання будинків з прилеглими територіями</t>
  </si>
  <si>
    <t>ПРИБИРАННЯ СХОДОВИХ КЛІТОК , ПРИБУДИНКОВОЇ ТЕРИТОРІЇ ТА МІСЦЬ ЗАГАЛЬНОГО КОРИСТУВАННЯ.
ЗА БІЛЬШ ДЕТАЛЬНОЮ ІНФОРМАЦІЄЮ ЗВЕРТАТИСЯ ДО ТЕТЯНИ РОМАНІВНИ.</t>
  </si>
  <si>
    <t>7131(1), покрівельник рулонних покрівель та покрівель із штучних матеріалів</t>
  </si>
  <si>
    <t>РЕМОНТ ТА ВСТАНОВЛЕННЯ ДАХІВ БУДИНКІВ, ВИКОРИСТОВУЮЧИ РІЗНОМАНІТНІ МАТЕРІАЛИ.
ЗА БІЛЬШ ДЕТАЛЬНОЮ ІНФОРМАЦІЄЮ ЗВЕРТАТИСЯ ДО ТЕТЯНИ РОМАНІВНИ.</t>
  </si>
  <si>
    <t>7112.2(4), майстер-підривник</t>
  </si>
  <si>
    <t>РОБОТА ПОВ'ЯЗАНА З ПРОВЕДЕННЯМ ТЕХНОЛОГІЧНИХ ПІДРИВНИХ РОБІТ ПРИ ВИДОБУТКУ ВУГІЛЛЯ, ЗАРЯДЖЕННЯ ВИБОЮ, ПІДКЛЮЧЕННЯ ДЕТОНАТОРІВ, ОГЛЯД ВИБОЮ ПІСЛЯ ВИБУХУ, ПОДАЧА СИГНАЛІВ, ВСТАНОВЛЕННЯ ПОСТІВ. ЗА БІЛЬШ ДЕТАЛЬНОЮ ІНФОРМАЦІЄЮ ЗВЕРТАТИСЯ ДО ТЕТЯНИ РОМАНІВНИ.</t>
  </si>
  <si>
    <t xml:space="preserve"> Слюсар-ремонтник.Виконує монтаж, демонтаж, ремонт, випробування, здає в експлуатацію та технічне обслуговування нестаціонарні насосні установки, дільничні вугленасосні установки, повітроводи, протипожежні та дегазаційні трубопроводи, шахтові вагонетки, електровози. </t>
  </si>
  <si>
    <t>ДОПОМІЖНІ ПІДСОБНІ РОБОТИ ПІД ЧАС ПРОВЕДЕННЯ РЕМОНТНИХ РОБІТ В ПІД'ЇЗДАХ ЖИТЛОВИХ БУДИНКІВ.
ЗА БІЛЬШ ДЕТАЛЬНОЮ ІНФОРМАЦІЄЮ ЗВЕРТАТИСЯ ДО ТЕТЯНИ РОМАНІВНИ.</t>
  </si>
  <si>
    <t>7241(68), електрослюсар підземний</t>
  </si>
  <si>
    <t>РОБОТА В ПІДЗЕМНИХ УМОВАХ, ПОВ'ЯЗАНА З РЕМОНТОМ І ОБСЛУГОВУВАННЯМ ЕЛЕКТРОУСТАТКУВАННЯ.
ЗА БІЛЬШ ДЕТАЛЬНОЮ ІНФОРМАЦІЄЮ ЗВЕРТАТИСЯ ДО ТЕТЯНИ РОМАНІВНИ.</t>
  </si>
  <si>
    <t>8163(26), машиніст насосних установок</t>
  </si>
  <si>
    <t xml:space="preserve">Обслуговує насосні установки, обладнані поршневими та відцентровими насосами із сумарним подаванням понад 1000 до 3000 м.куб./год. води, пульпи та інших нев’язких рідин, і насосні установки з перекачування нафти, мазуту, смоли та інших в’язких рідин із сумарним подаванням понад 50 т/год. Веде технічний облік і звітність про роботу установок. Виконує поточний ремонт насосного устаткування і бере участь у середньому та капітальному ремонтах його. </t>
  </si>
  <si>
    <t>Виконання робіт на окремних операціях середньої складності при забої іпереробленні свиней:оглушення, накладання путових ланцюгів і підйом приголомшеного тварини за допомогою підйомних механізмів на шлях знекровлення.Виїмка органів з туш великої рогатої худоби і свиней.Включення і випробування роботи обладнання конвеєра</t>
  </si>
  <si>
    <t>ПРОВОДИТЬ МОНТАЖ, ДЕМОНТАЖ, РЕМОНТ РЕВІЗІЮ, НАЛАГОДЖЕННЯ, ВИПРОБУВАННЯ; ЗДАЄ В ЕКСПЛУАТАЦІЮ МАШИНИ МЕХАНІЗМИ, ЗАСТОСОВУВАНІ В ОЧИСНИХ, ПІДГОТОВЧИХ ЗАБОЯХ. ПРОВОДИТЬ ЗАРЯДЖАННЯ АКУМУЛЯТОРНИХ БАТАРЕЙ. ПРОВОДИТЬ ЕЛЕКТРОЗВАРЮВАЛЬНІ РОБОТИ В СТОВБУРАХ.
 ЗА БІЛЬШ ДЕТАЛЬНОЮ ІНФОРМАЦІЄЮ ЗВЕРТАТИСЯ ДО МАРІЇ МИКОЛАЇВНИ.</t>
  </si>
  <si>
    <t>7411(31), розфасовувач м'ясопродуктів</t>
  </si>
  <si>
    <t>Підбирає порції м'яса та м'ясопродуктів з додерженням правильного співвідношення кісток і м'яса; подає м'ясопродукти для різання іх на порції,заповнює лотки подає іх на упакування і зважування</t>
  </si>
  <si>
    <t>2221.2(10), лікар-акушер-гінеколог</t>
  </si>
  <si>
    <t>UA46120070010059603, Львівська область, Шептицький, Лопатинська селищна ТГ, Лопатин</t>
  </si>
  <si>
    <t>Проведення гінекологічного обстеження з метою визначення діагнозу та оцінки стану здоров’я жінки. Застосовує сучасні методи профілактики, лікування та реабілітації у межах своєї спеціальності. Ведення первинної документації відповідно до вимог.</t>
  </si>
  <si>
    <t>1226.2(11), завідувач складу</t>
  </si>
  <si>
    <t xml:space="preserve">Організація ефективної роботи складу: приймання, зберігання, відпуск товарно-матеріальних цінностей. Забезпечення збереження вантажів, ведення складського обліку відповідно до чинного законодавства та внутрішніх регламентів. Контроль за дотриманням умов зберігання, правильністю складування товарів (вугілля, будматеріалів, техніки тощо). Ведення обліку надходження та вибуття продукції в обліковій системі 1С, Excel. Проведення інвентаризацій, оформлення  документації. Координація роботи вантажників, водіїв, </t>
  </si>
  <si>
    <t>9162, двірник</t>
  </si>
  <si>
    <t>ПРИБИРАЄ ТА УТРИМУЄ В ЧИСТОТІ ПРИБУДИНКОВОЇ ТЕРИТОРІЇ, ВУЛИЦЬ, ДВОРІВ ТА ІНШИХ ГРОМАДСЬКИХ МІСЦЬ.
ЗА БІЛЬШ ДЕТАЛЬНОЮ ІНФОРМАЦІЄЮ ЗВЕРТАТИСЯ ДО ТЕТЯНИ РОМАНІВНИ.</t>
  </si>
  <si>
    <t>8211(39), оператор верстатів з програмним керуванням</t>
  </si>
  <si>
    <t>UA46120030010063566, Львівська область, Шептицький, Великомостівська міська ТГ, Великі Мости</t>
  </si>
  <si>
    <t>Молодший оператор верстатів з ПК. Уміння вести процес оброблення з пульта керування простих деталей за 12-14 квалітетами (5-7 класами точності) на налагоджених верстатах з програмним керуванням з одним видом оброблення; установлювати і знімати деталі після оброблення; стежити за роботою систем верстатів, які обслуговував, за показаннями цифрових табло та сигнальних ламп,перевіряти якість оброблення деталей контрольно-вимірювальним інструментом та візуально і ін.</t>
  </si>
  <si>
    <t>6111, овочівник</t>
  </si>
  <si>
    <t>UA46120110100038875, Львівська область, Шептицький, Сокальська міська ТГ, Волиця</t>
  </si>
  <si>
    <t>Здійснює своєчасний догляд за рослинами, підтримує чистоту на робочому місці, дотримується чинних стандартів на продукцію під час вибірки овочів та пакування в тару, застосовує заходи, щодо покращення якості вирощування продукції, здійснює карантинні заходи в теплиці, виконує вказівки бригадира і головного агронома щодо виконуваної роботи.</t>
  </si>
  <si>
    <t>3433, бухгалтер</t>
  </si>
  <si>
    <t>Самостійно і в повному обсязі веде облік доходів і витрат за прийнятою на підприємстві формою бухгалтерського обліку з додержанням єдиних методологічних засад бухгалтерського обліку. Забезпечує 
повне і достовірне відображення інформації на рахунках бухгалтерського обліку. Забезпечує підготовку оброблених документів і звітності для збереження їх протягом установленого терміну. Постійно знайомиться та вивчає нові нормативно-методичні документи.За більш детальною інформацією звертатися до Анжели Григорівни</t>
  </si>
  <si>
    <t>8111(13), машиніст конвеєра</t>
  </si>
  <si>
    <t>Стежить за справним станом установок з обробки транспортних засобів.  Здійснює реверсування і перемикання руху конвеєрів, регулювання ступеня їх завантаження. Регулює натягувальні пристрої і рух стрічки. Стежить за справним станом перевантажувальних тачок, натягувальних барабанів, редукторів живильників, автоматичних пристроїв, установлених на конвеєрі, за правильним розвантаженням матеріалів у приймальні агрегати.</t>
  </si>
  <si>
    <t>8322(1), водій автотранспортних засобів</t>
  </si>
  <si>
    <t>UA46120110010087965, Львівська область, Шептицький, Сокальська міська ТГ, Сокаль</t>
  </si>
  <si>
    <t xml:space="preserve">Пасажирські перевезення, проводити контрольний технічний огляд автомобіля, визначати прості неполадки, виконувати роботи, пов'язані з оплатою пасажирами проїзду.    </t>
  </si>
  <si>
    <t>2221.2(49), лікар-геріатр</t>
  </si>
  <si>
    <t>UA46120030060029783, Львівська область, Шептицький, Великомостівська міська ТГ, Волиця</t>
  </si>
  <si>
    <t>Надає висококваліфіковану лікувально-консультативну, реабілітаційну та профілактичну допомогу хворим і здоровим особам похилого віку, здійснює нагляд за побічними реакціями/діями лікарських засобів. Працює в тісному контакті з лікарями інших спеціальностей, Організовує і проводить консультації хворих, здійснює нагляд за побічними реакціями діями лікарських засобів, керує роботою середнього медичного персоналу.</t>
  </si>
  <si>
    <t>Виконує монтаж, демонтаж, ревізію, налагодження, випробування, технічне обслуговування, здача в експлуатацію машин, механізмів та іншого обладнання.</t>
  </si>
  <si>
    <t>2221.2(12), лікар-анестезіолог</t>
  </si>
  <si>
    <t>Обґрунтовувати вибір виду анестезії; аналізувати результати лабораторних, функціональних і спеціальних методів дослідження; здійснювати кваліфіковане анестезіологічне забезпечення; проводити масковий, внутрішньовенний, ендотрахеальний наркоз при термінових і планових операціях.</t>
  </si>
  <si>
    <t>UA46120110020052602, Львівська область, Шептицький, Сокальська міська ТГ, Жвирка</t>
  </si>
  <si>
    <t>Робота пов'язана із виготовлення столярних заготовок на верстатах з комп'ютерним управлінням.Уміння подавати та розміщувати заготовки на робочих місцях. Приймати деталі після їх обробки на верстатах.</t>
  </si>
  <si>
    <t>ЕЛЕКТРОСЛЮСАР ПІДЗЕМНИЙ ВИКОНУЄ РОБОТИ ПО ЗАМІНІ РОЗПОРІВ, ПРОВІДНИКІВ, РЕМОНТУ ЗАВАНТАЖУВАЛЬНИХ ТА РОЗВАНТАЖУВАЛЬНИХ ПРИСТРОЇВ, МОНТАЖУ-ДЕМОНТАЖУ ВИСОКОВОЛЬТНИХ МУФТ В ШАХТНИХ СТВОЛАХ, РОБОТИ ПО ЗАМІНІ КОПРОВИХ ШКІВІВ ТОЩО.
ЗА БІЛЬШ ДЕТАЛЬНОЮ ІНФОРМАЦІЄЮ ЗВЕРТАТИСЯ ДО ТЕТЯНИ РОМАНІВНИ.</t>
  </si>
  <si>
    <t>КЕРУЄ АВТОТРАНСПОРТНИМ ЗАСОБОМ (СМІТТЄВОЗОМ), ВИВОЗИТЬ ТВЕРДІ ПОБУТОВІ ВІДХОДИ, ВІДПОВІДАЄ ЗА ЗА БЕЗПЕКУ РУХУ АВТОМОБІЛЯ ТА ЙОГО ТЕХНІЧНУ СПРАВНІСТЬ.
ЗА БІЛЬШ ДЕТАЛЬНОЮ ІНФОРМАЦІЄЮ ЗВЕРТАТИСЯ ДО ТЕТЯНИ РОМАНІВНИ.</t>
  </si>
  <si>
    <t>8331(15), тракторист</t>
  </si>
  <si>
    <t>КЕРУЄ ТРАКТОРОМ ТА ВИКОНУЄ ІНШІ РОБОТИ ЗА ЙОГО ДОПОМОГОЮ(ПЕРЕВЕЗЕННЯ ВАНТАЖІВ ПРИЧЕПОМ ТА ІН.), ВІДПОВІДАЄ ЗА ТЕХНІЧНИЙ СТАН ТА БЕЗПЕКУ РУХУ.
ЗА БІЛЬШ ДЕТАЛЬНОЮ ІНФОРМАЦІЄЮ ЗВЕРТАТИСЯ ДО ТЕТЯНИ РОМАНІВНИ.</t>
  </si>
  <si>
    <t>7111(7), гірник підземний</t>
  </si>
  <si>
    <t>ЗАБЕЗПЕЧУЄ РОБОТУ НА ВАНТАЖНО-РОЗВАНТАЖУВАЛЬНИХ ПРИСТРОЯХ, ЛЕБІДКАХ, ШТОВХАЧАХ, КОНВЕЄРАХ У ШАХТІ.  ЗА БІЛЬШ ДЕТАЛЬНОЮ ІНФОРМАЦІЄЮ ЗВЕРТАТИСЯ ДО ТЕТЯНИ РОМАНІВНИ</t>
  </si>
  <si>
    <t>Уміння виконувати весь комплекс підземних робіт, пов’язаних із проведенням горизонтальних, похилих і вертикальних гірничих виробок.Виконувати монтаж і демонтаж прохідницьких комплексів, обслуговування систем дільничного транспорту, водовідливу, вентиляції, протипожежного захисту.</t>
  </si>
  <si>
    <t xml:space="preserve">Слюсар-ремонтник. Виконує монтаж, демонтаж, ремонт, випробування, здає в експлуатацію та технічне обслуговування нестаціонарні насосні установки, дільничні вугленасосні установки, повітроводи, протипожежні та дегазаційні трубопроводи, шахтові вагонетки, електровози. </t>
  </si>
  <si>
    <t xml:space="preserve">7212(5), електрогазозварник </t>
  </si>
  <si>
    <t xml:space="preserve">Робота пов'язана із зварюванням металевих конструкцій, газорізальні роботи, складання деталей згідно креслень, підготовка виробів, вузлів та з'єднань під зварку, зачищення швів після зварки та нарізання. </t>
  </si>
  <si>
    <t>8112(42), машиніст установок збагачення та брикетування</t>
  </si>
  <si>
    <t>Учень машиніста устаткування та установок збагачення та брикетування.Веде процеси освітлення, згущення, промивання  шлаку, , дробіння, дозування, фільтрації, зневоднення, транспортування сировини та готової продукції на технологічних установках усіх типів. Проводить завантаження й розвантаження обслуговуваного обладнання; періодичний контроль та регулювання тиску, вакууму, чистоти фільтрату, подавання реагентів, води, режимів роботи обладнання за показаннями контрольно-вимірювальних приладів.</t>
  </si>
  <si>
    <t>ЗАМІНА І РЕМОНТ ПОКРІВЕЛЬ ДАХІВ ЖИТЛОВИХ БУДИНКІВ.
ЗА БІЛЬШ ДЕТАЛЬНОЮ ІНФОРМАЦІЄЮ ЗВЕРТАТИСЯ ДО ТЕТЯНИ РОМАНІВНИ.</t>
  </si>
  <si>
    <t>9132(6), прибиральник виробничих приміщень</t>
  </si>
  <si>
    <t>ПРИБИРАЄ ПРИМІЩЕННЯ, МИЄ СТІНИ, ПІДЛОГИ, ВІКОННІ РАМИ, СКЛО І ДВЕРНІ БЛОКИ ІЗ ЗАСТОСУВАННЯМ МИЮЧИХ ЗАСОБІВ. ЧИСТИТЬ І ДЕЗИНФІКУЄ САНІТАРНО-ТЕХНІЧНЕ УСТАТКУВАННЯ.
ЗА БІЛЬШ ДЕТАЛЬНОЮ ІНФОРМАЦІЄЮ ЗВЕРТАТИСЯ ДО МАРІЇ МИКОЛАЇВНИ.</t>
  </si>
  <si>
    <t>7111(6), гірник очисного забою</t>
  </si>
  <si>
    <t>РОБОТА В ПІДЗЕМНИХ УМОВАХ (В ОЧИСНОМУ ЗАБОЇ)  З ВИДОБУТКУ ВУГІЛЛЯ.ЗА БІЛЬШ ДЕТАЛЬНОЮ ІНФОРМАЦІЄЮ ЗВЕРТАТИСЯ ДО ТЕТЯНИ РОМАНІВНИ</t>
  </si>
  <si>
    <t>ПІДБИРАЄ ПОРЦІЇ М'ЯСА ТА М'ЯСОПРОДУКТІВ З ДОДЕРЖАННЯМ ПРАВИЛЬНОГО СПІВВІДНОШЕННЯ КІСТОК І М'ЯСА;ПОДАЄ М'ЯСОПРОДУКТИ ДЛЯ РІЗАННЯ ЇХ НА ПОРЦІЇ, ЗАПОВНЮЄ ЛОТКИ, ПОДАЄ ЇХ НА УПАКУВАННЯ І ЗВАЖУВАННЯ.
За більш детальною інформацією звертатися до Марії Миколаївни.</t>
  </si>
  <si>
    <t>5122(2), кухар</t>
  </si>
  <si>
    <t>ЯКІСНЕ І СВОЄЧАСНЕ ПРИГОТУВАННЯ СТРАВ ІЗ ДОБРОЯКІСНИХ ПРОДУКТІВ ХАРЧУВАННЯ ЗГІДНО ПРАВИЛ ВИРОБНИЧОЇ САНІТАРІЇ З НЕУХИЛЬНИМ ДОТРИМАННЯМ ТЕХНОЛОГІЇ ЇХ ПРИГОТУВАННЯ.ДОТРИМАННЯ ЧИСТОТИ І ПОРЯДКУ НА КУХНІ , ВИРОБНИЧИХ ЦЕХАХ ТА ПРИМІЩЕННЯХ ЇДАЛЬНІ.
За більш детальною інформацією звертатися до Тетяни Іванівни</t>
  </si>
  <si>
    <t>4222, адміністратор</t>
  </si>
  <si>
    <t>UA46120030030084582, Львівська область, Шептицький, Великомостівська міська ТГ, Боянець</t>
  </si>
  <si>
    <t>ЗУСТРІЧ ТА СПІЛКУВАННЯ З ВІДВІДУВАЧАМИ ЗАКЛАДУ, ПРОВЕДЕННЯ ЇХ ДО СТОЛИКА І ДОПОМОГУ У ВИБОРІ МІСЦЯ, СТОЛИКА І ОФІЦІАНТА. АДМІНІСТРАТОР СПОСТЕРІГАЄ ЗА ЇХ ОБСЛУГОВУВАННЯМ І КОРИГУЄ РОБОТУ ОБСЛУГОВУЮЧОГО ПЕРСОНАЛУ. ЗА БІЛЬШ ДЕТАЛЬНОЮ ІНФОРМАЦІЄЮ ЗВЕРТАТИСЯ ДО ТЕТЯНИ МИКОЛАЇВНИ</t>
  </si>
  <si>
    <t>2445.2(3), практичний психолог</t>
  </si>
  <si>
    <t>ПСИХОЛОГІЧНИЙ СУПРОВІД ОСВІТНЬОГО ПРОЦЕСУ В ГІМНАЗІЇ.
ЗА БІЛЬШ ДЕТАЛЬНОЮ ІНФОРМАЦІЄЮ ЗВЕРТАТИСЯ ДО АНЖЕЛИ ГРИГОРІВНИ.</t>
  </si>
  <si>
    <t>ПРИГОТУВАННЯ ЗАКУСОК,ГАРЯЧИХ  ТА ХОЛОДНИХ СТРАВ І НАПОЇВ. ДОТРИМАННЯ РЕЦЕПТУР, ТЕХНОЛОГІЧНИХ КАРТ.КОНТРОЛЬ ЯКОСТІ,ЗОВНІШНЬОГО ВИГЛЯДУ ТА ТЕМПЕРАТУРИ ГОТОВИХ СТРАВ ПЕРЕД ПОДАЧЕЮ.
ЗА ДОДАТКОВОЮ ІНФОРМАЦІЄЮ ЗВЕРТАТИСЯ ДО МАРІЇ МИКОЛАЇВНИ.</t>
  </si>
  <si>
    <t>3340(24), майстер виробничого навчання</t>
  </si>
  <si>
    <t>Майстер виробничого навчання за професією майстер  візажист полягає у ведені практичних занять , здійснює навчання здобувачів освіти з урахуванням специфіки навчальної дисципліни. Проводить навчальні заняття  згідно з розподілом навчального навантаження.</t>
  </si>
  <si>
    <t>ПРИГОТУВАННЯ ГАРЯЧИХ І ХОЛОДНИХ СТРАВ, ЗАКУСОК ЗГІДНО З ТЕХНОЛОГІЧНИМИ КАРТАМИ.ДОТРИМАННЯ РЕЦЕПТУР, НОРМ ВИХОДУ ПРОДУКТУ ТА СПОСОБІВ ОБРОБКИ.ЕСТЕТИЧНЕ ОФОРМЛЕННЯ ГОТОВИХ СТРАВ ПЕРЕД ПОДАЧЕЮ.
ЗА ДОДАТКОВОЮ ІНФОРМАЦІЄЮ ЗВЕРТАТИСЯ ДО МАРІЇ МИКОЛАЇВНИ.</t>
  </si>
  <si>
    <t>9132(2), кухонний робітник</t>
  </si>
  <si>
    <t>ДОПОМОГА КУХАРЮ У ПРИГОТУВАННІ СТРАВ(МИТТЯ, ЧИСТКА, НАРІЗАННЯ ОВОЧІВ,ФРУКТВ, М'ЯСА, РИБИ). ПІДГОТОВКА ІНГРЕДІЄНТІВ ДО ПРИГОТУВАННЯ (ЗАМОЧУВАННЯ, МАРИНУВАННЯ ТОЩО).ПОДАВАННЯ ПРОДУКТІВ ТА ІНСТРУМЕНТІВ КУХАРЮ ПІД ЧАС ПРИГОТУВАННЯ.ВИКОНАННЯ ПРОСТИХ КУЛІНАРНИХ ЗАВДАНЬ(ВАРІННЯ, СМАЖЕННЯ, ЗМІШУВАННЯ ІНГРЕДІЄНТІВ).МИТТЯ ПОСУДУ, ІНВЕНТАРЮ, КУХОННОГО ОБЛАДНАННЯ.
ЗА ДОДАТКОВОЮ ІНФОРМАЦІЄЮ ЗВЕРТАТИСЯ ДО МАРІЇ МИКОЛАЇВНИ.</t>
  </si>
  <si>
    <t>3419(10), організатор зі збуту</t>
  </si>
  <si>
    <t>Організація  процесів постачання та збуту продукції підприємства (вугілля, будматеріали, комплектуючі).Пошук та ведення переговорів з постачальниками і покупцями, укладання договорів, погодження умов поставок. Контроль за виконанням договірних зобов’язань. Формування замовлень, контроль наявності товару, координація доставки і транспорту.Планування закупівель, моніторинг ринку, аналіз цін та умов співпраці.Ведення відповідної звітності та облікової документації.</t>
  </si>
  <si>
    <t>8141(14), рамник</t>
  </si>
  <si>
    <t>робота пов'язана з розпиленням деревини в столярному цеху</t>
  </si>
  <si>
    <t>9333, вантажник</t>
  </si>
  <si>
    <t>Обслуговування вагонів завантаження твердого палива у вагони. Робота з дотриманням техніки безпеки.</t>
  </si>
  <si>
    <t xml:space="preserve"> Робота на складі готової продукції. Навантажувати, перевозити, переносити і розвантажувати внутрішньо складський вантаж.,Доставляти  товар  до транспортного засобу покупця. Забезпечувати чистоту на складі і прилеглій території. Вести облік  фактично виданого товару. </t>
  </si>
  <si>
    <t>4114, оператор з уведення даних в ЕОМ (ОМ)</t>
  </si>
  <si>
    <t>Виконує операції з базами даних на комп'ютерному устаткуванні відповдно до затверджених процедур та інструкцій з використанням перифирійного обладнання, систем передавання даних. Працює в текстовому редакторі з введенням тексту та його редагуванням, у разі необхідності виконує обов'язки секретаря керівника підприємства, веде діловодство. За більш детальною інформацією звертатися до Анжели Григорівни.</t>
  </si>
  <si>
    <t>8333(19), машиніст підіймальної машини</t>
  </si>
  <si>
    <t>РОБОТА ПОВ'ЯЗАНА ЗІ СПУСКОМ ТА ПІДЙОМОМ З ШАХТИ (В ШАХТУ).
ЗА БІЛЬШ ДЕТАЛЬНОЮ ІНФОРМАЦІЄЮ ЗВЕРТАТИСЯ ДО ТЕТЯНИ РОМАНІВНИ</t>
  </si>
  <si>
    <t>3115(33), механік дільниці</t>
  </si>
  <si>
    <t>ЗАБЕЗПЕЧУЄ РОБОТУ МЕХАНІЗОВАНИХ КОМПЛЕКСІВ, ЇХ ОБСЛУГОВУВАННЯ ТА СВОЄЧАСНИЙ РЕМОНТ І МОДЕРНІЗАЦІЮ.
ЗА БІЛЬШ ДЕТАЛЬНОЮ ІНФОРМАЦІЄЮ ЗВЕРТАТИСЯ ДО МАРІЇ МИКОЛАЇВНИ.</t>
  </si>
  <si>
    <t>7111(28), стовбуровий (підземний)</t>
  </si>
  <si>
    <t xml:space="preserve">Виконує роботи з обслуговування шахтного стовбура — приймання та подавання сигналів із шахти на поверхню та з поверхні машиністу підйомної машини з підіймання матеріалів, устаткування, запасних частин та опускання людей та вантажів. </t>
  </si>
  <si>
    <t>9132(3), мийник посуду</t>
  </si>
  <si>
    <t>ОСНОВНИМ ЗАВДАННЯМ МИЙНИКА ПОСУДУ Є МИТТЯ СТОЛОВОГО ТА КУХОННОГО ПОСУДУ, ПРИБОРІВ, ПІДНОСІВ ТА ІН. ІЗ ЗАСТОСУВАННЯМ МИЙНИХ ТА ДЕЗІНФІКУЮЧИХ ЗАСОБІВ. 
ЗА БІЛЬШ ДЕТАЛЬНОЮ ІНФОРМАЦІЄЮ ЗВЕРТАТИСЯ ДО ТЕТЯНИ РОМАНІВНИ.</t>
  </si>
  <si>
    <t>7231(5), слюсар з ремонту колісних транспортних засобів</t>
  </si>
  <si>
    <t>РЕМОНТУЄ, РЕГУЛЮЄ ТА ВИПРОБОВУЄ СКЛАДНІ КОЛІЙНІ МАШИНИ І МЕХАНІЗМИ, ВИКОНУЄ СЛЮСАРНІ РОБОТИ.ЗА БІЛЬШ ДЕТАЛЬНОЮ ІНФОРМАЦІЄЮ ЗВЕРТАТИСЯ ДО ТЕТЯНИ МИКОЛАЇВНИ</t>
  </si>
  <si>
    <t>5123(4), офіціант</t>
  </si>
  <si>
    <t>UA46120090010078401, Львівська область, Шептицький, Радехівська міська ТГ, Радехів</t>
  </si>
  <si>
    <t xml:space="preserve">Готувати зал до обслуговування споживачів, отримувати посуд, полірувати; складати серветки різними способами; приймати замовлення від споживачів, подавати страви і напої; обслуговувати банкети; оформляти рахунки; прибирати використаний посуд та прибори; замінювати столову білизну.
</t>
  </si>
  <si>
    <t>ПРОВОДИТЬ ВИТЯГАННЯ КРІПЛЕННЯ ВРУЧНУ АБО ЗА ДОПОМОГОЮ ЛЕБІДОК. ЗАМІНА РАМ ТА ЕЛЕМЕНТІВ УСІХ ВИДІВ КРІПЛЕННЯ. РОЗБИРАННЯ Й КРІПЛЕННЯ МІСЦЬ, ЗАВАЛІВ, ВИРОБОК. ЗДІЙСНЮЄ ОБСЛУГОВУВАННЯ ЗАСТОСОВУВАНИХ МАШИН ТА УСУНЕННЯ ДРІБНИХ НЕПОЛАДОК У ЇХ РОБОТІ.
ЗА БІЛЬШ ДЕТАЛЬНОЮ ІНФОРМАЦІЄЮ ЗВЕРТАТИСЯ ДО ТЕТЯНИ РОМАНІВНИ.</t>
  </si>
  <si>
    <t>7141(3), маляр</t>
  </si>
  <si>
    <t>ЗАЙМАЄТЬСЯ ФАРБУВАННЯМ, ЗОВНІШІМ ТА ВНУТРІШНІМ РЕМОНТОМ ПОВЕРХОНЬ БУДІВЕЛЬ (ПІД"ЇЗДІВ)
ЗА БІЛЬШ ДЕТАЛЬНОЮ ІНФОРМАЦІЄЮ ЗВЕРТАТИСЯ ДО ТЕТЯНИ РОМАНІВНИ</t>
  </si>
  <si>
    <t>7136(9), монтажник санітарно-технічних систем і устаткування</t>
  </si>
  <si>
    <t>Технічний огляд систем центрального опалення, водопостачання, каналізації та газоспоживання.  Поточний ремонт та заміна сантехнічного обладнання. Забезпечення необідноого санітарного режиму систем водопостачання та каналізації. Ліквідування аварій систем опалення, водопостачання, каналізації</t>
  </si>
  <si>
    <t>5220(4), продавець продовольчих товарів</t>
  </si>
  <si>
    <t xml:space="preserve">Роздрібна торгівля фруктами й овочами  бере участь у прийманні товарів: перевіряє заповнення тарних одиниць, їх кількість та вагу, перевіряє якість за результатами зовнішнього огляду. Консультує покупців про властивості, смакові особливості, кулінарне призначення та харчову цінність товарів. </t>
  </si>
  <si>
    <t>КУРУЄ СПЕЦІАЛІЗОВАНИМИ АВТОМОБІЛЬНИМИ ТРАНСПОРТНИМИ ЗАСОБАМИ (MAN), ДОТРИМУЄТЬСЯ ПРАВИЛ ДОРОЖНЬОГО РУХУ, ПРАВИЛ ПЕРЕВЕЗЕННЯ ВАНТАЖУ, КОНТРОЛЮЄ ПРАВИЛЬНІСТЬ ЗАВАНТАЖЕННЯ, РОЗМІЩЕННЯ ТА КРІПЛЕННЯ ВАНТАЖІВ У КУЗОВІ.                                                     ЗА БІЛЬШ ДЕТАЛЬНОЮ ІНФОРМАЦІЄЮ ЗВЕРТАТИСЯ ДО ТЕТЯНИ МИКОЛАЇВНИ</t>
  </si>
  <si>
    <t>8111(10), машиніст екскаватора</t>
  </si>
  <si>
    <t>НАВАНТАЖЕННЯ ТПВ НА СОРТУВАЛЬНУ ЛІНІЮ. ДОГЛЯД ЗА ЕКСКАВАТОРОМ. ЗА БІЛЬШ ДЕТАЛЬНОЮ ІНФОРМАЦІЄЮ ЗВЕРТАТИСЯ ДО АНЖЕЛИ ГРИГОРІВНИ.</t>
  </si>
  <si>
    <t>7437(3), оббивальник</t>
  </si>
  <si>
    <t>ЗАБЕЗПЕЧУЄ ЗАМІНУ ЧИ ВСТАНОВЛЕННЯ ЛИЦЕВОГО ПОКРИТТЯ,М’ЯГКИХ МЕБЛІВ(ТКАНИНИ,ШТУЧНОЇ ШКІРИ,НАТУРАЛЬНОЇ ШКІРИ),ЗА БІЛЬШ ДЕТАЛЬНОЮ ІНФОРМАЦІЄЮ ЗВЕРТАТИСЬ ДО ТЕТЯНИ ІВАНІВНИ.</t>
  </si>
  <si>
    <t>КЕРУВАННЯ АВТОТРАНСПОРТНИМ ЗАСОБОМ АВТОБУСОМ КАВЗ.ЗНАННЯ БУДОВИ, ОБСЛУГОВУВАННЯ АВТОТРАНСПОРТНОГО ЗАСОБУ.ЗА БІЛЬШ ДЕТАЛЬНОЮ ІНФОРМАЦІЄЮ ЗВЕРТАТИСЯ ДО ТЕТЯНИ МИКОЛАЇВНИ</t>
  </si>
  <si>
    <t>8131(88), сортувальник напівфабрикатів та виробів</t>
  </si>
  <si>
    <t>ПІДБИРАННЯ І СКЛАДАННЯ В ПАРИ ШКАРПЕТКОВІ ВИРОБИ, ОДЯГАННЯ ВІШАКІВ ТА ЕТИКЕТОК.
ЗА БІЛЬШ ДЕТАЛЬНОЮ ІНФОРМАЦІЄЮ ЗВЕРТАТИСЯ ДО ТЕТЯНИ РОМАНІВНИ.</t>
  </si>
  <si>
    <t>ДОПОМІЖНІ ПІДСОБНІ РОБОТИ ПРИ ПРОВЕДЕННІ РЕМОНТНИХ РОБІТ, ВАНТАЖНО-РОЗВАНТАЖУВАЛЬНІ РОБОТИ, КОСІННЯ ТРАВИ.
ЗА БІЛЬШ ДЕТАЛЬНОЮ ІНФОРМАЦІЄЮ ЗВЕРТАТИСЯ ДО ТЕТЯНИ РОМАНІВНИ</t>
  </si>
  <si>
    <t>Уміння виконувати низькокваліфіковані і допоміжні роботи на виробничих сільськогосподарських дільницях, будівельних майданчиках, складах, коморах та ін. Навантажувати і вивантажувати, транспортувати вантажі вручну або на візках (вагонетках), штабелювати вантажі, які не потребують обережності тощо. Білити і прибирати виробничі, складські та санітарно-побутові приміщення, території, дороги, під’їзні шляхи та ін.</t>
  </si>
  <si>
    <t>СВОЄЧАСНЕ ТА ЯКІСНЕ ОБСЛУГОВУВАННЯ КЛІЄНТІВ, СЕРВІРУВАННЯ ТА ПРИБИРАННЯ СТОЛІВ, ПРИЙОМ ТА ВИДАЧА ЗАМОВЛЕНЬ.
ЗА БІЛЬШ ДЕТАЛЬНОЮ ІНФОРМАЦІЄЮ ЗВЕРТАТИСЯ ДО ТЕТЯНИ РОМАНІВНИ</t>
  </si>
  <si>
    <t>Проводить розвантаження і навантаження гірничої маси. Виконує підсобно-допоміжні роботи, доставляє буровий інструмент, підносить матеріали,підносить воду, виконує інші допоміжні роботи. Підбирає та заготовляє  елементи кріплення і опалубки. Прибирає підземні приміщення. Проводится навчання в УКК.</t>
  </si>
  <si>
    <t>ВИКОНУЄ МОНТАЖ, РЕМОНТ, ВИПРОБОВУЄ, ЗДАЄ В ЕКСПЛУАТАЦІЮ ТА ОБСЛУГОВУВУЄ ЕЛЕКТРОАПАРАТИ ТА ПРИСТРОЇ. ВИКОНУЄ РОБОТИ ПО ТЕХНІЧНІЙ ЕКСПЛУАТАЦІЇ ЕЛЕКТРОУСТАНОВОК.ЗА БІЛЬШ ДЕТАЛЬНОЮ ІНФОРМАЦІЄЮ ЗВЕРТАТИСЯ ДО ТЕТЯНИ МИКОЛАЇВНИ</t>
  </si>
  <si>
    <t>5123, бармен</t>
  </si>
  <si>
    <t>Бармен готує та подає алкогольні  напої відвідувачам закладу.Він готує коктейлі, напої згідно рецептури, оформляє їх для подачі, спілкується з клієнтами бару.Також відповідає за запас алкоголю та напоїв, складання чеків, роботу барної стійки.За більш детальною інформацією звертатися до Тетяни Миколаївни</t>
  </si>
  <si>
    <t>Пошиття трикотажних виробів згідно з технічними умовами.Вміння виконувати операції зшивання, обметування, підгинання, оздоблення. Дотримання технологічних процесів пошиття. Робота на машинці Flatlock, плоскошовна.За більш детальною інформацією звертатися до Тетяни Миколаївни.</t>
  </si>
  <si>
    <t xml:space="preserve">Робота в їдальні підприємства полягає у митті посуду з використанням посудомийної машини з використанням миючих засобів, підготовці посуду :  попереднє очищення тарілок і склянок від залишків їжі, підготовка та миття каструль об"ємом 50 літрів., переміщення чистого посуд  до місця роздачі їжі, обслуговування посудомийної машини, забезпечення її чистоти , дезинфікація. прибтраня кімнати для миття посуду. Робота згдно графіку у дві зміни, перша зміна з 8,00 до 16,30 год, друга зміна з 11,30 до 20,00 год. </t>
  </si>
  <si>
    <t>7412(9), пекар</t>
  </si>
  <si>
    <t>ЗДІЙСНЮЄ ПРОЦЕС ВИПІКАННЯ ХЛІБОБУЛОЧНИХ ВИРОБІВ ТА БОРОШНЯНО-КОНДИТЕРСЬКИХ ВИРОБІВ.
За більш детальною інформацією звертатися до МАРІЇ МИКОЛАЇВНИ.</t>
  </si>
  <si>
    <t>5123(2), буфетник</t>
  </si>
  <si>
    <t>Реалізація продовольчих товарів, кулінарних, холодних та гарячих страв, закусок, гарячих напоїв, хлібобулочних, мучних та кондитерських виробів, молочної продукти та продукції власного виробництва у шахтному буфеті, дотримання санітарних правил. Приймання, викладка, облік руху товарів, які надходять у продаж. Утримання  у належному санітарному та технічному стані приміщення торгового залу та підсобних приміщень.</t>
  </si>
  <si>
    <t>6121(10), оператор машинного доїння</t>
  </si>
  <si>
    <t>UA46120110270041867, Львівська область, Шептицький, Сокальська міська ТГ, Лучиці</t>
  </si>
  <si>
    <t>Проводить машинне доїння корів. Знання правил доїння, годівлі, напування та утримання тварин; методів підвищення молочної продуктивності тварин.</t>
  </si>
  <si>
    <t>3476(2), керівник аматорського колективу (за видами мистецтва)</t>
  </si>
  <si>
    <t>UA46120090260065916, Львівська область, Шептицький, Радехівська міська ТГ, Павлів</t>
  </si>
  <si>
    <t>Керівництво діяльністю колективу, складання планів роботи, добирає матеріали для занять, проводить підбір виконавців, групові та індивідуальні заняття, репетиційну, навчальну та тренувальну роботу.</t>
  </si>
  <si>
    <t>7233(68), слюсар з ремонту колійних машин та механізмів</t>
  </si>
  <si>
    <t>8274(22), машиніст тістомісильних машин</t>
  </si>
  <si>
    <t>ВЕДЕ ПРОЦЕС ЗАМІШУВАННЯ ТІСТА НА МАШИНАХ ПЕРІОДИЧНОЇ АБО БЕЗПЕРЕВНОЇ ДІЇ У ПРОПОРЦІЯХ,УСТАНОВЛЕНИХ РЕЦЕПТУРОЮ, ДЛЯ ОДЕРЖЕННЯ ОДНОРІДНОЇ МАСИ ТІСТА.ПІДНІМАЄ МІШКИ З МУКОЮ ДЛЯ ЗАМІСУ ТІСТА.
ЗА БІЛЬШ ДЕТАЛЬНОЮ ІНФОРМАЦІЄЮ ЗВЕРТАТИСЬ ДО ТЕТЯНИ ІВАНІВНИ.</t>
  </si>
  <si>
    <t>СЕРВІРУВАННЯ СТОЛІВ, ЗУСТРІЧ ВІДВІДУВАЧІВ, ЗНАЙОМСТВО ЇХ З МЕНЮ,  У РАЗІ ПОТРЕБИ - ПОРАДИ У ВИБОРІ СТРАВ, ОДЕРЖАННЯ ЗАМОВЛЕННЯ, ПЕРЕДАЧА ЗАМОВЛЕННЯ НА КУХНЮ, ДОСТАВКА ЗАМОВЛЕННЯ ВІДВІДУВАЧАМ, РОЗРАХУНОК З НИМИ, ЗБІР ВИКОРИСТАНОГО ПОСУДУ.
ЗА БІЛЬШ ДЕТАЛЬНОЮ ІНФОРМАЦІЄЮ ЗВЕРТАТИСЯ ДО ТЕТЯНИ ІВАНІВНИ</t>
  </si>
  <si>
    <t>РОБОТА ПРОДАВЦЯ ПРОДОВОЛЬЧИХ ТОВАРІВ У ВІДДІЛІ ПЕКАРНІ НА 0.5 СТАВКИ. ВИКЛАДКА ХЛІБОБУЛОЧНИХ ВИРОБІВ НА ВІТРИНИ.ЗВАЖУВАННЯ І ПАКУВАННЯ ХЛІБОБУЛОЧНИХ ВИРОБІВ.РОЗМІЩЕННЯ ЦІННИКІВ НА ХЛІБОБУЛОЧНИХ ВИРОБАХ.
За більш детальною інформацією звертатися до Марії Миколаївни.</t>
  </si>
  <si>
    <t>7422(5), комплектувальник меблів</t>
  </si>
  <si>
    <t>Комплектує деталі до корпусних меблів та фурніруру до них, Виконує маркування та облік укомплектованих деталей. Сортує заготовки та пиломатеріали під час їх складання по коробках.</t>
  </si>
  <si>
    <t>7233(72), слюсар з ремонту рухомого складу</t>
  </si>
  <si>
    <t>ВИКОНУЄ СЛЮСАРНУ ОБРОБКУ, РЕМОНТУЄ, ВИГОТОВЛЯЄ ДЕТАЛІ, РЕМОНТУЄ ДОПОМІЖНІ ЧАСТИНИ РУХОМОГО СКЛАДУ.ЗА БІЛЬШ ДЕТАЛЬНОЮ ІНФОРМАЦІЄЮ ЗВЕРТАТИСЯ ДО ТЕТЯНИ МИКОЛАЇВНИ</t>
  </si>
  <si>
    <t>УЧЕНЬ ГІРНИКА ПІДЗЕМНОГО ЗАБЕЗПЕЧУЄ РОБОТУ ВАНТАЖНО-РОЗВАНТАЖУВАЛЬНИХ ПРИСТРОЇВ, ЛЕБІДОК, ШТОВХАЧІВ, КОНВЕЄРІВ. ПРОВОДИТЬ ОЧИЩЕННЯ ВАГОНІВ, ВАГОНЕТОК АВТОШЛЯХІВ І ЗАЛІЗНИЧНИХ КОЛІЙ. 
ЗА БІЛЬШ ДЕТАЛЬНОЮ ІНФОРМАЦІЄЮ ЗВЕРТАТИСЯ ДО ТЕТЯНИ МИКОЛАЇВНИ</t>
  </si>
  <si>
    <t>1239(5), завідувач господарства</t>
  </si>
  <si>
    <t>Знання ,що стосується безпеки,ремонту,прибирання,закупівель та утримання тереторії закладу.За більш детальною інформацією звертатись до Тетяни Іванівни.</t>
  </si>
  <si>
    <t>8111(7), машиніст гірничих виїмкових машин</t>
  </si>
  <si>
    <t>РОБОТА В ПІДЗЕМНИХ УМОВАХ, ПОВ'ЯЗАНА З РЕМОНТОМ І ОБСЛУГОВУВАННЯМ ГІРНИЧИХ ВИЇМКОВИХ МАШИН.
ЗА БІЛЬШ ДЕТАЛЬНОЮ ІНФОРМАЦІЄЮ ЗВЕРТАТИСЯ ДО ТЕТЯНИ РОМАНІВНИ.</t>
  </si>
  <si>
    <t>ПРИЙМАННЯ ТОВАРУ,ОБСЛУГОВУВАННЯ КЛІЄНТІВ. ВИКЛАДКА ТА СОРТУВАННЯ ТОВАРУ.ЗА БІЛЬШ ДЕТАЛЬНОЮ ІНФОРМАЦІЄЮ ЗВЕРТАТИСЬ ДО ТЕТЯНИ ІВАНІВНИ.</t>
  </si>
  <si>
    <t>8332(49), машиніст укладача асфальтобетону</t>
  </si>
  <si>
    <t>КЕРУЄ УКЛАДАЧЕМ АСФАЛЬТОБЕТОНУ ІНОЗЕМНОГО ВИРОБНИЦТВА (ТИПУ TITAN) З ПРОГРАМНИМ ЗАБЕЗПЕЧЕННЯМ У ХОДІ БУДІВНИЦТВА ТА РЕМОНТУ АВТОМОБІЛЬНИХ ДОРІГ РІЗНОГО ПРИЗНАЧЕННЯ, ДАМБ.
ЗА БІЛЬШ ДЕТАЛЬНОЮ ІНФОРМАЦІЄЮ ЗВЕРТАТИСЯ ДО ТЕТЯНИ РОМАНІВНИ.</t>
  </si>
  <si>
    <t>6113(7), грибовод</t>
  </si>
  <si>
    <t>UA46060190250079898, Львівська область, Львівський район, Кам’янка-Бузька міська ТГ, Стрептів</t>
  </si>
  <si>
    <t>ДОГЛЯД ЗА ГРИБАМИ (ШАМПІНЬЙОНИ), ПРОВЕДЕННЯ САНІТАРНИХ ЗАЧИЩЕНЬ, ЗБІР ВРОЖАЮ, СОРТУВАННЯ ЇХ ЗА СТАНДАРТАМИ. ЗА БІЛЬШ ДЕТАЛЬНОЮ ІНФОРМАЦІЄЮ ЗВЕРТАТИСЯ ДО АНЖЕЛИ ГРИГОРІВНИ.</t>
  </si>
  <si>
    <t>7241(51), електромонтер з ремонту та обслуговування електроустаткування</t>
  </si>
  <si>
    <t>ОБСЛУГОВУВАННЯ, РЕМОНТ ПРОМИСЛОВОГО ЕЛЕКТРОУСТАТКУВАННЯ, ЗАБЕЗПЕЧУЮЧИ БЕЗПЕРЕБІЙНУ РОБОТУ ПІДПРИЄМСТВА.
ЗА БІЛЬШ ДЕТАЛЬНОЮ ІНФОРМАЦІЄЮ ЗВЕРТАТИСЯ ДО ТЕТЯНИ РОМАНІВНИ.</t>
  </si>
  <si>
    <t>Бере участь у поточному обслуговуванні електроустановок, двигунів, генераторів; спостерігає за показаннями приладів; бере участь в усуненні нескладних пошкоджень; розбирає і чистить окремі вузли обладнання; обслуговує акумулятори.</t>
  </si>
  <si>
    <t>ДОПОМА КУХАРЮ У ПРИГОТУВАННІ СТРАВ: ЧИСТКА,МИТТЯ, НАРІЗКА ОВОЧІВ, ФРУКТІВ,ЗЕЛЕНІ.ПІДГОТОВКА НАПІВФАБРИКАТІВ (ЗАМІС ТІСТА, ПАНІРУВАННЯ, МАРИНУВАННЯ ТОЩО).ДОПОМОГА КУХАРЮ ПІД ЧАС ПРИГОТУВАННЯ СТРАВ(ПОДАВАННЯ ІНГРЕДІЄНТІВ, ПЕРЕМІШУВАННЯ, КОНТРОЛЬ ЗА ВАРІННЯМ ТОЩО).МИТТЯ ПОСУДУ,ІНВЕНТРЮ, КУХОННОГО ОБЛАДНАННЯ.ПРИБИРАННЯ РОБОЧИХ ПОВЕРХОНЬ,ПІДЛОГИ,ХОЛОДИЛЬНИКІВ.
ЗА ДОДАТКОВОЮ ІНФОРМАЦІЄЮ ЗВЕРТАТИСЯ ДО МАРІЇ МИКОЛАЇВНИ.</t>
  </si>
  <si>
    <t>Виконує комплекс робіт під час очисного виймання корисних копалин, оформлює забій, установлює тимчасове та постійне кріплення. Встановлює кріплення у місцях сполучення забою з прилеглими виробками. Вивільняє затиснуті секції механічного кріплення, виконує роботи з керування направляючих.</t>
  </si>
  <si>
    <t>ФАРБУВАННЯ ПОВЕРХОНЬ ЗА ДОПОМОГОЮ ПЕНЗЛІВ, ВАЛИКІВ, ФАРБОПУЛЬТІВ, ПІСТОЛЕТІВ ТА ІНШИХ ПРИСТОСУВАНЬ ПІД ЧАС ПРОВЕДЕННЯ РЕМОНТІВ В ПІД'ЇЗДАХ.
ЗА БІЛЬШ ДЕТАЛЬНОЮ ІНФОРМАЦІЄЮ ЗВЕРТАТИСЯ ДО ТЕТЯНИ РОМАНІВНИ.</t>
  </si>
  <si>
    <t>4211(6), касир торговельного залу</t>
  </si>
  <si>
    <t>ВЕДЕ РОЗРАХУНОК ІЗ ПОКУПЦЯМИ ЗА ТОВАРИ.ПІДРАХОВУЄ ВАРТІСТЬ ПОКУПКИ,ОТРИМУЄ ГРОШІ,ПРОБИВАЄ ЧЕК,ВИДАЄ ЗДАЧУ.ОЗНАЙОМЛЮЄТЬСЯ З АСОРТИМЕНТОМ НАЯВНИХ ТОВАРІВ І ЦІНАМИ НА НИХ.
За більш детальною інформацією звертатися до Марії Миколаївни.</t>
  </si>
  <si>
    <t>8232(74), ливарник пластмас</t>
  </si>
  <si>
    <t>ЗАЙМАЄТЬСЯ ЛИТТЯМ ПІД ТИСКОМ НА ТЕРМОПЛАСТАВТОМАТАХ(ЛИВАРНИХ МАШИНАХ) РІЗНИХ ТИПІВ ВИРОБІВ ТА ДЕТАЛЕЙ ІЗ ЗАСТОСУВАННЯМ ПРОСТИХ ПРЕС-ФОРМ, БЕЗ ЗНІМНИХ ЗНАКІВ. ЗАВАНТАЖУЄ БУНКЕР ЛИВАРНОЇ МАШИНИ СИРОВИНОЮ. ПЕРЕВІРЯЄ ЗМИКАННЯ ПРЕС-ФОРМ. РЕГУЛЮЄ РЕЖИМ ЛИТТЯ. 
ЗА БІЛЬШ ДЕТАЛЬНОЮ ІНФОРМАЦІЄЮ ЗВЕРТАТИСЯ ТЕТЯНИ РОМАНІВНИ.</t>
  </si>
  <si>
    <t>3475(43), тренер-викладач з виду спорту (спортивної школи, секції і т. ін.)</t>
  </si>
  <si>
    <t>ТРЕНЕР-ВИКЛАДАЧ З БАСКЕТБОЛУ НАВЧАЄ ТА ВИХОВУЄ УЧНІВ-СПОТСМЕНІВ ІЗ ВРАХУВАННЯМ СПЕЦИФІКИ ДАНОГО ВИДУ СПОРТУ, ПРОВОДИТЬ НАВЧАЛЬНО-ТРЕНУВАЛЬНІ ЗАНЯТТЯ, ГОТУЄ ДО ЗМАГАНЬ, ПРОВОДИТЬ МОТИВАЦІЙНУ РОБОТУ СЕРЕД СВОЇХ ПІДОПІЧНИХ, ВЕДЕ ДОКУМЕНТАЦІЮ НАВЧАЛЬНИХ ГРУП.
ЗА БІЛЬШ ДЕТАЛЬНОЮ ІНФОРМАЦІЄЮ ЗВЕРТАТИСЯ ДО ТЕТЯНИ РОМАНІВНИ.</t>
  </si>
  <si>
    <t xml:space="preserve"> ПОШИТТЯ РІЗНОМАНІТНИХ ВИРОБІВ,РОБОТА НА РІЗНОМУ ШВЕЙНОМУ ОБЛАДНАННІ,ПРАЦЮВАТИ З РІЗНИМИ ТКАНИНАМИ ТА ШКІРОЮ.ЗА БІЛЬШ ДЕТАЛЬНОЮ ІНФОРМАЦІЄЮ ЗВЕРТАТИСЬ ДО ТЕТЯНИ ІВАНІВНИ.</t>
  </si>
  <si>
    <t>2359.2(9), педагог-організатор</t>
  </si>
  <si>
    <t>UA46120030150031035, Львівська область, Шептицький, Великомостівська міська ТГ, Реклинець</t>
  </si>
  <si>
    <t>Педагог-організатор.Уміння організовувати і проводити виховну і навчальну роботу з дітьми шкільного віку з використанням сучасних форм і методик; забезпечувати різнобічний розвиток учнів шляхом колективної та індивідуальної роботи</t>
  </si>
  <si>
    <t>ЗДІЙСНЮЄ ПОШИТТЯ ВИШИВАНОК. За більш детальною інформацією звертатися до Анжели Григорівни</t>
  </si>
  <si>
    <t>8113(9), машиніст бурової установки</t>
  </si>
  <si>
    <t>РОБОТА НА ПОВЕРХНІ.КЕРУЄ БУРОВИМИ СТАНКАМИ ТА УСТАНОВКАМИ РІЗНИХ ТИПІВ ПІД ЧАС БУРІННЯ І РОЗШИРЕННЯ СВЕРДЛОВИН.КЕРУЄ ПРОЦЕСОМ БУРІННЯ ЗАЛЕЖНО ВІД ГЕОЛОГІЧНИХ УМОВ.ВИКОНУЄ РОБОТИ ЩОДО ЗАПОБІГАННЯ І ЛІКВІДАЦІЇ КРИВИЗНИ, АВАРІЙ ТА УСКЛАДНЕНЬ У СВЕРДЛОВИНАХ.
ЗА ДОДАТКОВОЮ ІНФОРМАЦІЄЮ ЗВЕРТАТИСЯ ДО МАРІЇ МИКОЛАЇВНИ.</t>
  </si>
  <si>
    <t>7422(13), столяр</t>
  </si>
  <si>
    <t>РОБОТА В СТОЛЯРНОМУ ЦЕХУ З ВИГОТОВЛЕННЯ, ОБРОБКИ МЕБЛІВ З ДЕРЕВА. За більш детальною інформацією звертатися до Анжели Григорівни.</t>
  </si>
  <si>
    <t>7129(17), монтажник -складальник металопластикових конструкцій</t>
  </si>
  <si>
    <t>МОНТАЖ МЕТАЛОПЛАСТИКОВИХ ВІКОН ПІД ЧАС ПРОВЕДЕННЯ РЕМОНТНИХ РОБІТ В ПІД'ЇЗДАХ ЖИТЛОВИХ БУДИНКІВ.
ЗА БІЛЬШ ДЕТАЛЬНОЮ ІНФОРМАЦІЄЮ ЗВЕРТАТИСЯ ДО ТЕТЯНИ РОМАНІВНИ.</t>
  </si>
  <si>
    <t xml:space="preserve">ПРИЙОМ ПЛАТЕЖІВ ВІД ПОКУПЦІВ ЗА ХЛІБОБУЛОЧНІ ВИРОБИ І НАПОЇ. ВЕДЕННЯ КАСОВИХ ЗВІТІВ, РОБОТА З КАСОВИМ АПАРАТОМ І ТЕРМІНАЛОМ.СКЛАДАННЯ КАСОВОЇ ЗВІТНОСТІ.ПРИЙОМ, ОБЛІК, ВИДАЧА, ЗБЕРІГАННЯ ГРОШОВИХ КОШТІВ.
За більш детальною інформацією звертатися до 
Тетяни Миколаївни.
</t>
  </si>
  <si>
    <t>1463(1), менеджер (управитель) із надання кредитів</t>
  </si>
  <si>
    <t>УПРАВЛІННЯ КОМАНДОЮ КОНСУЛЬТАНТІВ(ЗАЛУЧЕННЯ,НАВЧАННЯ,ПЛАНУВАННЯ ДІЯЛЬНОСТІ КОМАНДИ,КОНТРОЛЬ ЗА ВИКОНАННЯ ПОСТАВЛЕНИХ ЦІЛЕЙ).РОЗВИТОК КЛІЄНТСЬКОЇ БАЗИ (ОРГАНІЗАЦІЯ ПОШУКУ ТА ЗАЛУЧЕННЯ КЛІЄНТІВ).УЧАСТЬ У РОЗРОБЦІ,ВПРОВАДЖЕННІ І СУПРОВОДІ РЕКЛАМНИХ АКЦІЙ КОМПАНІЇ.ПЛАНУВАННЯ,ОРГАНІЗАЦІЯ І АНАЛІЗ ПРОДАЖІВ КОМАНДИ.СУПРОВІД КРЕДИТНИХ ДОГОВОРІВ.ЗА БІЛЬШ ДЕТАЛЬНОЮ ІНФОРМАЦІЄЮ ЗВЕРТАТИСЬ ДО ТЕТЯНИ ІВАНІВНИ.</t>
  </si>
  <si>
    <t>8262(27), помічник майстра (ткацькі верстати та в'язальні машини)</t>
  </si>
  <si>
    <t>ОБСЛУГОВУВАННЯ В'ЯЗАЛЬНОГО ОБЛАДНАННЯ, ЗДІЙСНЕННЯ КОНТРОЛЮ ЗА ПРАВИЛЬНОЮ ЕКСПЛУАТАЦІЄЮ ОБЛАДНАННЯ, КОНТРОЛЬ ЗА ЯКІСТЮ ПРОДУКЦІЇ.
ЗА БІЛЬШ ДЕТАЛЬНОЮ ІНФОРМАЦІЄЮ ЗВЕРТАТИСЯ ДО ТЕТЯНИ РОМАНІВНИ.</t>
  </si>
  <si>
    <t>1475.4(3), менеджер (управитель) із збуту</t>
  </si>
  <si>
    <t xml:space="preserve"> Вміння співпрацювати з абонентами, щодо надання послуг. Консультація абонентів в телефонному режимі і в месенджерах. Презентація послуг і тарифів компанії. Прийом заяв від абонентів і їх обробка, інші завдання в межах роботи  відділу. За більш детальною інформацією звертатися до Тетяни Миколаївни</t>
  </si>
  <si>
    <t>7437(4), оббивальник меблів</t>
  </si>
  <si>
    <t>ОББИВКА МЯГКИХ МЕБЛІВ ЗА КРЕСЛЕННЯМИ, МАЛЮНКАМИ РІЗНОЇ СКЛАДНОСТІ. За більш детальною інформацією звертатися до Анжели Григорівни.</t>
  </si>
  <si>
    <t>робота пов'язана з проведенням технологічних підривних робіт при видобутку вугілля, бере участь у маркуванні патронів, проводить підривні роботи, здійснює виписування, отримування та підношення до місця роботи вибухових матеріалів. огляд вибою після вибуху</t>
  </si>
  <si>
    <t>5220(12), продавець-консультант</t>
  </si>
  <si>
    <t>UA46120130020045105, Львівська область, Шептицький, Червоноградська міська ТГ, Соснівка</t>
  </si>
  <si>
    <t>Викладка товару. Консультування покупців. За більш детальною інформацією  звертатися до Тетяни Миколаївна</t>
  </si>
  <si>
    <t>2132.2, інженер-програміст</t>
  </si>
  <si>
    <t>Обслуговування ТПА,комп'ютерів,автоматичних ліній виробництва.За більш детальною інформацією звертатись до Тетяни Іванівни.</t>
  </si>
  <si>
    <t>UA46120030040072009, Львівська область, Шептицький, Великомостівська міська ТГ, Бутини</t>
  </si>
  <si>
    <t xml:space="preserve">Робота  кухарем в шкільній столовій, яка полягає у приготуванні перших та других страв, контролі за зберіганням продуктів відповідно до санітарно-гігієнічних норм. Проводити процеси первинної кулінарної обробки сировини. Здійснювати допоміжні роботи з виготовлення страв та кулінарних виробів. </t>
  </si>
  <si>
    <t>1222.2(65), майстер дільниці</t>
  </si>
  <si>
    <t>ЗАБЕЗПЕЧУЄ РОЗМІЩЕННЯ ПРАЦІВНИКІВ, ПРОВОДИТЬ ІНСТРУКТАЖ З ОХОРОНИ ПРАЦІ, ВИДАЄ НАРЯД-ДОПУСК ТА ЗАВДАННЯ ПРАЦІВНИКАМ ДІЛЬНИЦІ ТА КОНТРОЛЮЄ ЙОГО ВИКОНАННЯ, ЗАБЕЗПЕЧУЄ НОРМАЛЬНУ РОБОТУ ІНЖЕНЕРНО-ТЕХНІЧНИХ КОМУНІКАЦІЙ ЖИТЛОВИХ БУДИНКІВ ТА СПОРУД. ОРГАНІЗОВУЄ РОБОТУ З УСУНЕННЯ ДРІБНИХ НЕПОЛАДОК (АВАРІЙ) НА ДІЛЬНИЦІ.
ЗА БІЛЬШ ДЕТАЛЬНОЮ ІНФОРМАЦІЄЮ ЗВЕРТАТИСЯ ДО ТЕТЯНИ РОМАНІВНИ</t>
  </si>
  <si>
    <t>2221.2(47), лікар загальної практики-сімейний лікар</t>
  </si>
  <si>
    <t>Здійснює динамічне спостереження за станом здоров’я кожного члена сім’ї з проведенням необхідного обстеження і оздоровлення за індивідуальним планом. Застосовує сучасні методи діагностики, лікування та реабілітації пацієнтів.  Формування та контроль виконання плану обстежень та лікування, аналіз результатів досліджень, призначення медичних препаратів та інших лікувальних заходів.</t>
  </si>
  <si>
    <t>Робота в охоронній фірмі на машині марки ВАЗ-211440,  виїзди за викликом або при спрацюваннях сигналізації на об'єктах, що охороняються</t>
  </si>
  <si>
    <t>7233(90), слюсар-ремонтник</t>
  </si>
  <si>
    <t>СЛЮСАР-РЕМОНТНИК (САНТЕХНІК) ОБСЛУГОВУЄ ОСНОВНЕ ТА ДОПОМІЖНЕ ОБЛАДНАННЯ. ЗАБЕЗПЕЧУЄ РОЗБИРАННЯ, РЕМОНТ І СКЛАДАННЯ РІЗНИХ ДЕТАЛЕЙ ТА ВУЗЛІВ САНІТАРНО-ТЕХНІЧНИХ СИСТЕМ ЦЕНТРАЛЬНОГО ОПАЛЕННЯ, КАНАЛІЗАЦІЇ ТОЩО.ЗА БІЛЬШ ДЕТАЛЬНОЮ ІНФОРМАЦІЄЮ ЗВЕРТАТИСЯ ДО ТЕТЯНИ МИКОЛАЇВНИ</t>
  </si>
  <si>
    <t>UA46120110240099204, Львівська область, Шептицький, Сокальська міська ТГ, Лешків</t>
  </si>
  <si>
    <t xml:space="preserve">Уміння користуватися об'єктивними методами та визначати спеціальні обстеження хворого; оцінювати тяжкість стану хворого, вживати необхідних заходів до виведення хворого з цього стану, визначити обсяги та послідовність реанімаційних заходів, необхідну медичну допомогу; призначити необхідні ліки, лікувальні засоби та процедури.Призначення лікування пілопічних, виявлення хворих підопічних. </t>
  </si>
  <si>
    <t>ПРИБИРАЄ В ЦЕХАХ ТА ІНШИХ ВИРОБНИЧИХ ПРИМІЩЕННЯХ ВІДХОДИ ВИРОБНИЦТВА І СМІТТЯ. ВИТИРАЄ ПИЛ, ПІДМІТАЄ І МИЄ ВРУЧНУ АБО ЗА ДОПОМОГОЮ МАШИН І ПРИСТРОЇВ ПІДЛОГУ, СХОДИ ,СХОДОВІ  ПЛОЩАДКИ, ВІКНА, СТІНИ, СТЕЛІ.ГОТУЄ РІЗНІ МИЙНІ ТА ДЕЗІНФІКУЮЧІ РОЗЧИНИ ДЛЯ МИТТЯ ПІДЛОГ, СТІН, ВІКОН ТА СТЕЛЬ. РОЗСТАВЛЯЄ УРНИ ДЛЯ СМТТЯ, ЧИСТИТЬ ТА ДЕЗІНФІКУЄ ЇХ.
За більш детальною інформацією звертатися до Марії Миколаївни.</t>
  </si>
  <si>
    <t>7233(53), слюсар аварійно-відновлювальних робіт</t>
  </si>
  <si>
    <t>Робота полягає в відновленні аварійних ділянок водопровідних мереж, каналізаційних мереж, чистка колодязів. Установлює і замінює фасонні частини і арматуру на діючих мережах і магістралях. Здійснює врізання під тиском у трубопроводах. Виконує профілактичний ремонт обладнання і механізмів.</t>
  </si>
  <si>
    <t xml:space="preserve">НАДАННЯ ПЕРВИННОЇ МЕДИЧНОЇ ДОПОМОГИ ПАЦІЄНТАМ ВІДПОВІДНО ДО МЕДИЧНИХ СТАНДАРТІВ ТА ПРОТОКОЛІВ.РОЗРОБКА ІНДИВІДУАЛЬНИХ ПРОГРАМ ОБСТЕЖЕННЯ ТА СПОСТЕРЕЖЕННЯ ЗА СТАНОМ ЗДОРОВ'Я ПАЦІЄНТІВ.ПРОВЕДЕННЯ ІМУНОПРОФІЛАКТИКИ ЗАХВОРЮВАНЬ.  ЗА БІЛЬШ ДЕТАЛЬНОЮ ІНФОРМАЦІЄЮ ЗВЕРТАТИСЯ ДО ТЕТЯНИ МИКОЛАЇВНИ
</t>
  </si>
  <si>
    <t>8312(6), складач поїздів</t>
  </si>
  <si>
    <t>ФОРМУВАННЯ, РОЗФОРМУВАННЯ ПОЇЗДІВ.ЗАБЕЗПЕЧУЄ БЕЗПЕКУ РУХУ НА ЗАЛІЗНИЧНОМУ ТРАНСПОРТІ.ЗА БІЛЬШ ДЕТАЛЬНОЮ ІНФОРМАЦІЄЮ ЗВЕРТАТИСЯ ДО ТЕТЯНИ МИКОЛАЇВНИ</t>
  </si>
  <si>
    <t xml:space="preserve">ЗБИРАННЯ ПО ТЕРИТОРІЇ КАМЕР ЯЩИКІВ З ГРИБАМИ (ШАМПІНЬЙОНИ), ЇХ ЗВАЖУВАННЯ,  СКЛАДАННЯ НА ПАЛЕТИ ТА ПЕРЕМІЩЕННЯ ПО ТЕРИТОРІЇ ПІДПРИЄМСТВА (СКЛАД, ХОЛОДИЛЬНІ КАМЕРИ, ЦЕХ КОНСЕРВАЦІЇ ).РОБОТА ПОТРЕБУЄ ЗНАЧНОГО ФІЗИЧНО НАВАНТАЖЕННЯ. ЗА БІЛЬШ ДЕТАЛЬНОЮ ІНФОРМАЦІЄЮ ЗВЕРТАТИСЯ ДО АНЖЕЛИ ГРИГОРІВНИ.
</t>
  </si>
  <si>
    <t>7136(17), слюсар-сантехнік</t>
  </si>
  <si>
    <t>МОНТАЖ, РЕМОНТ ТА ОБСЛУГОВУВАННЯ СИСТЕМ ОПАЛЕННЯ, ВОДОПОСТАЧАННЯ ТА КАНАЛІЗАЦІЇ.
ЗА БІЛЬШ ДЕТАЛЬНОЮ ІНФОРМАЦІЄЮ ЗВЕРТАТИСЯ ДО ТЕТЯНИ РОМАНІВНИ.</t>
  </si>
  <si>
    <t>2419.3, спеціаліст державної служби (місцевого самоврядування)</t>
  </si>
  <si>
    <t>ПРОВІДНИЙ СПЕЦІАЛІСТ. ЗАБЕЗПЕЧУЄ ВІДПОВІДНО ДО СВОЄЇ КОМПЕТЕНЦІЇ ВИКОНАННЯ КОНСТИТУЦІЇ ТА ЗАКОНІВ УКРАЇНИ. ВНОСИТЬ ДО ДЕРЖАВНОГО РЕЄСТРУ АКТІВ ЦИВІЛЬНОГО СТАНУ ГРОМАДЯН ВІДОМОСТІ ПРО НАРОДЖЕННЯ, ШЛЮБ, РОЗІРВАННЯ ШЛЮБУ, ЗМІНУ ІМЕНІ, СМЕРТЬ А ТАКОЖ ВНОСИТЬ ЗМІНИ ДО НЬОГО ВІДПОВІДНО ЧИННОГО ЗАКОНОДАВСТВА; СКЛАДАЄ ОПИСИ СПРАВ ПОСТІЙНОГО, ТРИВАЛОГО ТА ТИМЧАСОВОГО ЗБЕРІГАННЯ ТА АКТИ НАЦІОНАЛЬНОГО АРХІВНОГО ФОНДУ.
ЗА БІЛЬШ ДЕТАЛЬНОЮ ІНФОРМАЦІЄЮ ЗВЕРТАТИСЯ ДО ТЕТЯНИ РОМАНІВНИ.</t>
  </si>
  <si>
    <t>ВИКОНУЄ ЗАВАНТАЖУВАЛЬНІ І ВИВАНТАЖУВАЛЬНІ РОБОТИ, ВНУТРІШНЬОСКЛАДСЬКЕ ПЕРЕМІЩЕННЯ ВАНТАЖІВ:СОРТУВАННЯ, УКЛАДАННЯ, ПЕРЕНЕСЕННЯ, ПЕРЕВАЖУВАННЯ, ФАСУВАННЯ ТОЩО ВРУЧНУ АБО ІЗ ЗАСТОСУВАННЯМ НАЙПРОСТІШИХ ВАНТАЖНО-РОЗВАНТАЖУВАЛЬНИХ ПРИСТРОЇВ.КРІПЛЕННЯ ТА УКРИТТЯ ВАНТАЖІВ НА СКЛАДАХ І ТРАНСПОРТНИХ ЗАСОБАХ.
За більш детальною інформацією звертатися до Марії Миколаївни.</t>
  </si>
  <si>
    <t>8333(13), машиніст крана (кранівник)</t>
  </si>
  <si>
    <t>МАШИНІСТ КОЗЛОВОГО КРАНУ, РОБОТА ПОВ'ЯЗАНА ІЗ ПІДІЙМАННЯ ТА ПЕРЕМІЩЕННЯ ВАНТАЖУ.
ЗА БІЛЬШ ДЕТАЛЬНОЮ ІНФОРМАЦІЄЮ ЗВЕРТАТИСЯ ДО ТЕТЯНИ РОМАНІВНИ.</t>
  </si>
  <si>
    <t>ОБСЛУГОВУВАННЯ КЛІЄНТІВ ЗАКЛАДУ, КОНСУЛЬТУВАННЯ ЩОДО ВИБОРУ МЕНЮ. СЕРВІРУВАННЯ СТОЛІВ. ЗДІЙСНЕННЯ ГОТІВКОВИХ І БЕЗГОТІВКОВИХ РОЗРАХУНКІВ З ПОКУПЦЯМИ.
За більш детальною інформацією звертатися до Марії Миколаївни.</t>
  </si>
  <si>
    <t>8155(11), оператор заправних станцій</t>
  </si>
  <si>
    <t>РОБОТА НА КАСОВОМУ АПАРАТІ POS MINI ,  МАТЕРІАЛЬНА ВІДПОВІДАЛЬНІСТЬ, ЗАПРАВКА АТОМОБІЛІВ, ПРИБИРАННЯ РОБОЧОГО МІСЦЯ. РОБОТА В МОЛОДОМУ ЖІНОЧОМУ КОЛЕКТИВІ.
За більш детальною інформацією звертатися до Тетяни Романівни.</t>
  </si>
  <si>
    <t>8311(6), машиніст електровоза</t>
  </si>
  <si>
    <t>Керує електровозами, регулює швидкість руху, формує ешелони та виконує маневрові роботи на вантажних та обмінних пунктах та естакадах. Перевезення вантажів, завезення порожніх вагонів в підземних умовах.</t>
  </si>
  <si>
    <t>Уміння проводити процеси первинної кулінарної обробки сировини. Здійснювати допоміжні роботи з виготовлення страв та кулінарних виробів. Формувати та панірувати напівфабрикати. Готувати страви та кулінарні вироби, які потребують нескладної кулінарної обробки: варити, смажити, запікати та випікати вироби. Виготовляти страви з концентратів. Порціонувати , роздавати страви масового попиту</t>
  </si>
  <si>
    <t xml:space="preserve">Виконує  сільськогосподарські роботи на колісному тракторі  класу до 20 кН та транспортні роботи на тракторі з додержанням правил перевезення вантажів. визначає несправності тракторів, причіпних і начіпних знарядь. Виконує роботи з періодичного технічного обслуговування і ремонту трактора. Слідкує за раціональністю використання паливно-мастильних матеріалів та запчастин. </t>
  </si>
  <si>
    <t>7241(15), електромеханік з ліфтів</t>
  </si>
  <si>
    <t>UA46060250010015970, Львівська область, Львівський район, Львівська міська ТГ, Львів</t>
  </si>
  <si>
    <t xml:space="preserve">Виконувати роботи з ремонту, монтажу і демонтажу ліфтового устаткування під керівництвом начальника дільниці; ремонт механічних частин ліфта; заміна елементів живлення та пристроїв керування; встановлення, регулювання та заміна запасних частин; визначити та усувати складні несправності в мережах освітлення. </t>
  </si>
  <si>
    <t xml:space="preserve">Здійснення пасажирських перевезень марка автобуса Mersedes категорії D.За більш детальною інформацією звертатись до Тетяни Романівни.
</t>
  </si>
  <si>
    <t>2222.2, лікар-стоматолог</t>
  </si>
  <si>
    <t>Надає консультативну допомогу.Проводить реставрацію і лікування зубів. За більш детальною інформацією звертатись до Тетяни Іванівни.</t>
  </si>
  <si>
    <t>8332(34), машиніст котка самохідного з рівними вальцями</t>
  </si>
  <si>
    <t>КЕРУЄ КОТКОМ САМОХІДНИМ ВІБРАЦІЙНИМ ГРУНТОВИМ ІНОЗЕМНОГО ВИРОБНИЦТВА ( ТИПУ BOMAG, DYNAPAC, HAMM, BITELLI) З ПРОГРАМНИМ ЗАБЕЗПЕЧЕННЯМ МАСОЮ ВІД 5т ДО 15т ПІД ЧАС УЩІЛЬНЕННЯ ЗЕМЛЯНОГО ПОЛОТНА У ХОДІ БУДІВНИЦТВА ТА РЕМОНТУ АВТОМОБІЛЬНИХ ДОРІГ РІЗНОГО ПРИЗНАЧЕННЯ, ДАМБ, ГРУНТОВИХ ПЛОЩИН.
ЗА БІЛЬШ ДЕТАЛЬНОЮ ІНФОРМАЦІЄЮ ЗВЕРТАТИСЯ ДО ТЕТЯНИ РОМАНІВНИ.</t>
  </si>
  <si>
    <t>3226(2), масажист</t>
  </si>
  <si>
    <t>Проводить всі види масажу, готує клієнтів до масажу.
За більш детальною інформацією звертатися до Тетяни Романівни</t>
  </si>
  <si>
    <t>4132, приймальник замовлень</t>
  </si>
  <si>
    <t>ПРИЙМАЄ ТА ВИДАЄ ПОСИЛКИ, ПАКУЄ ПОСИЛКИ ТА ГОТУЄ ДО ВІДПРАВКИ.ДОПОМАГАЄ РОЗВАНТАЖУВАТИ/ЗАВАНТАЖУВАТИ МАШИНУ.ЗА БІЛЬШ ДЕТАЛЬНОЮ ІНФОРМАЦІЄЮ ЗВЕРТАТИСЯ ДО ТЕТЯНИ МИКОЛАЇВНИ.</t>
  </si>
  <si>
    <t>8262(2), в'язальник</t>
  </si>
  <si>
    <t>ЗАПРАВКА ПРЯЖІ НА В'ЯЗАЛЬНІ АВТОМАТИ, ЗАМІНА БАБІН, ЛІКВІДАЦІЯ ОБРИВУ НИТКИ, ПРЕВІРКА ЯКОСТІ ВИРОБІВ І ДОТРИМАННЯ ПАРАМЕТРІВ.
ЗА БІЛЬШ ДЕТАЛЬНОЮ ІНФОРМАЦІЄЮ ЗВЕРТАТИСЯ ДО ТЕТЯНИ РОМАНІВНИ</t>
  </si>
  <si>
    <t>Ввічливе обслуговування покупців, надання консультацій щодо товару.Здійснює підрахунок покупки та при необхідності розраховує покупців.За більш детальною інформацією звертатися до Тетяни Миколаївни</t>
  </si>
  <si>
    <t>7422(11), пресувальник виробів з деревини</t>
  </si>
  <si>
    <t>Уміння пресувати сировину, контактну масу, матеріали,плівку тощо.Готувати пристрої для пресування, приймати матеріали у шахту преса або закладати його в гнізда преса, перевіряти якість пресування, усувати дефекти, стежити за роботою устаткування, змазувати тертьові частини преса тощо</t>
  </si>
  <si>
    <t>Слідкує за роботою електромережі на підприємтсві. Виконує нескладні роботи на відомчих електростанціях, трансформаторних електропідстанціях з повним їх вимиканням від напруги оперативних перемикань у електромережі, ревізією трансформаторів, вимикачів, роз'єднувачів і приводів до них без розбирання конструктивних елементів.  Допуск до і більше 1000 V. Обов'язкова наявність посвідчення.</t>
  </si>
  <si>
    <t>КЕРУЄ КОНВЕЄРАМИ, ЕЛЕВАТОРАМИ, ШНЕКАМИ, ЖИВИЛЬНИКАМИ, ПЕРЕВАНТАЖУВАЛЬНИМИ ВІЗКАМИ, ПРИВОДНОЮ СТАНЦІЄЮ КОНВЕЄРА. РЕГУЛЮЄ РУХ СТРІЧКИ. ЗАМІНЮЄ СПРАЦЬОВАНІ РОЛИКИ. ВИДАЛЯЄ З КОНВЕЄРНОЇ СТРІЧКИ СТОРОННІ ПРЕДМЕТИ, ПРИБИРАЄ РОЗСИПАНУ ГІРНИЧУ МАСУ. ЛІКВІДУЄ ЗАТОРИ В ЛОТКАХ, УСУВАЄ НЕПОЛАДКИ В РОБОТІ ОБСЛУГОВУВАНОГО ОБЛАДНАННЯ, ЧИСТИТЬ ОБЛАДНАННЯ. ОБСЛУГОВУЄ ПРИПЛИВНО-ВИТЯЖНУ ВЕНТИЛЯЦІЮ.
ЗА БІЛЬШ ДЕТАЛЬНОЮ ІНФОРМАЦІЄЮ ЗВЕРТАТИСЯ ДО ТЕТЯНИ МИКОЛАЇВНИ.</t>
  </si>
  <si>
    <t>РОБОТА ПРОДАВЦЯ ПРОДОВОЛЬЧИХ ТОВАРІВ У ВІДДІЛІ КУЛІНАРІЇ НА 0,5 СТАВКИ. ВИКЛАДКА ГОТОВОЇ ПРОДУКЦІЇ НА ВІТРИНИ.ЗВАЖУВАННЯ ГОТОВИХ СТРАВ(САЛАТИ, КУРИ ІНШЕ). ЗВАЖУВАННЯ І ПАКУВАННЯ ГОТОВИХ СТРАВ.РОЗМІЩЕННЯ ЦІННИКІВ НА ПРОДУКЦІЇ.
За більш детальною інформацією звертатися до Марії Миколаївни.</t>
  </si>
  <si>
    <t>КУХАР З ПРИГОТУВАННЯ СТРАВ ШВИДКОГО ХАРЧУВАННЯ. ГОТУВАННЯ ЇЖІ З ПІВ ФАБРИКАТУ, ПРОДАЖ НАПОЇВ. ДОТРИМАННЯ СТАНДАРТІВ ЯКОСТІ ПРИГОТУВАННЯ СТРАВ І ДОТРИМАННЯ САНІТАРНИХ НОРМ.
ЗА БІЛЬШ ДЕТАЛЬНОЮ ІНФОРМАЦІЄЮ ЗВЕРТАТИСЯ ДО ТЕТЯНИ РОМАНІВНИ.</t>
  </si>
  <si>
    <t>КЕРУВАТИ ТРАНСПОРТНИМ НАВАНТАЖУВАЧЕМ ПОТУЖНІСТЮ ПОНАД 73,5 кВт, ЕКСКАВАТОРОМ ПОТУЖНІСТЮ ДО 147 кВт, ЗДІЙСНЕННЯ ТЕХНІЧНОГО ОБСЛУГОВУВАННЯ І ПОТОЧНОГО РЕМОНТУ УСІХ МЕХАНІЗМІВ ЕКСКАВАТОРА.
ЗА БІЛЬШ ДЕТАЛЬНОЮ ІНФОРМАЦІЄЮ ЗВЕРТАТИСЯ ДО ТЕТЯНИ РОМАНІВНИ.</t>
  </si>
  <si>
    <t>3115(4), механік</t>
  </si>
  <si>
    <t>ЗАБЕЗПЕЧУЄ БЕЗАВАРІЙНУ РОБОТУ ОБЛАДНАННЯ І АПАРАТУРИ НА ДІЛЬНИЦІ З ДОТРИМАННЯМ ВИМОГ ЗАТВЕРДЖЕНОЇ ТЕХНОЛОГІЇ РОБІТ І ОХОРОНИ ПРАЦІ.ЗАБЕЗПЕЧУЄ ПРОВЕДЕННЯ ПЛАНОВИХ ОГЛЯДІВ ОБЛАДНАННЯ, ВЧАСНИЙ І ЯКІСНИЙ ПРОФІЛАКТИЧНИЙ І ПОТОЧНИЙ РЕМОНТ.ЗА БІЛЬШ ДЕТАЛЬНОЮ ІНФОРМАЦІЄЮ ЗВЕРТАТИСЯ ДОТЕТЯНИ ІВАНІВНИ</t>
  </si>
  <si>
    <t>РОБОТА В ПІДЗЕМНИХ УМОВАХ, ПОВ'ЯЗАНА З РЕМОНТОМ І ОБСЛУГОВУВАННЯМ ЕЛЕКТРОУСТАТКУВАННЯ.
ЗА БІЛЬШ ДЕТАЛЬНОЮ ІНФОРМАЦІЄЮ ЗВЕРТАТИСЯ ДО АНЖЕЛИ ГРИГОРІВНИ.</t>
  </si>
  <si>
    <t>1231(29), менеджер (управитель)</t>
  </si>
  <si>
    <t>робота з касовим апаратом, прийом товару, відкриття та закриття зміни, викладка товару на стелажі, обслуговування покупців, підтримання чистоти в магазині, контроль за протермінуванням продукції</t>
  </si>
  <si>
    <t>3330(12), асистент вчителя-дефектолога</t>
  </si>
  <si>
    <t>ЗДІЙСНЮВАТИ СУПРОВІД ДІТЕЙ ПІД ЧАС ЗАНЯТЬ.ОРГАНІЗОВУВАТИ ЇХНЮ ІГРОВУ ДІЯЛЬНІСТЬ.
За більш детальною інформацією звертатися до Марії Миколаївни.</t>
  </si>
  <si>
    <t>ПЕРЕНЕСЕННЯ ВАНТАЖІВ НА НЕВЕЛИКУ ВІДСТАНЬ В ЦЕХУ.
ЗА БІЛЬШ ДЕТАЛЬНОЮ ІНФОРМАЦІЄЮ ЗВЕРТАТИСЯ ДО ТЕТЯНИ РОМАНІВНИ.</t>
  </si>
  <si>
    <t>1222.2(25), майстер гірничий</t>
  </si>
  <si>
    <t>Відповідає за виконання гірничих робіт, організація та здійснення контролю за робочою бригадою.
За більш детальною інформаціє звертатись до Тетяни Романівни.</t>
  </si>
  <si>
    <t>ЧИСТКА ДОЩОПРИЙМАЧІВ, ПОГРУЗКА СМІТТЯ РУЧНИМ МЕТОДОМ, ОБРОБКА І ЗНИЩЕННЯ БУР'ЯНІВ. ЗА БІЛЬШ ДЕТАЛЬНОЮ ІНФОРМАЦІЄЮ ЗВЕРТАТИСЯ ДО АНЖЕЛИ ГРИГОРІВНИ.</t>
  </si>
  <si>
    <t>UA46120130030027066, Львівська область, Шептицький, Червоноградська міська ТГ, Гірник</t>
  </si>
  <si>
    <t>ДІАГНОСТИКА,КОРЕКЦІЯ,ПРОФІЛАКТИКА ВІДХИЛЕНЬ У ДІТЕЙ, СТВОРЕННЯ УМОВ ДЛЯ РОЗВИТКУ ОСОБИСТОСТІ, ЗАПОБІГАННЯ КОНФЛІКТІВ У КОЛЕКТИВІ. За більш детальною інформацією звертатися до Анжели Григорівни.</t>
  </si>
  <si>
    <t>КЕРУВАННЯ АВТОМОБІЛЬНИМ ТРАНСПОРТНИМ ЗАСОБОМ,ЯКИЙ ВІДНОСИТЬСЯ ДО КАТЕГОРІЇ"С",ЗА РІЗНИХ ДОРОЖНІХ УМОВ.ВИКОНАННЯ ВИМОГ ПРАВИЛ ДОРОЖНЬОГО РУХУ,ПРАВИЛ ПЕРЕВЕЗЕНЬ ПАСАЖИРІВ ТА ВАНТАЖУ.ЗАБЕЗПЕЧЕННЯ НАЛЕЖНОГО ТЕХНІЧНОГО СТАНУ АВТОТРАНСПОРТНОГО ЗАСОБУ.ЗА БІЛЬШ ДЕТАЛЬНОЮ ІНФОРМАЦІЄЮ ЗВЕРТАТИСЬ ДО ТЕТЯНИ ІВАНІВНИ.</t>
  </si>
  <si>
    <t>ГОТУВАТИ ОСНОВНУ ПРОДУКЦІЮ ,ЩО ВХОДЯТЬ В МЕНЮ.ГОТУВАТИ КОМПЛЕКСНІ ОБІДИ.СТРОГО ДОТРИМУЮЧИ ТЕХНОЛОГІЧНИЙ ПРОЦЕС І ЗГІДНО ВСТАНОВЛЕНИМ РЕЦЕПТАМ.ЗА БІЛЬШ ДЕТАЛЬНОЮ ІНФОРМАЦІЄЮ ЗВЕРТАТИСЬ ДО ТЕТЯНИ ІВАНІВНИ.</t>
  </si>
  <si>
    <t>2221.2(26), лікар-педіатр</t>
  </si>
  <si>
    <t>Амбулаторний прийом дітей, оцінює загальний фізичний стан пацієнтів, які вперше прийшли або повернулися після хвороби, щоб надати їм медичну допомогу. Застосовувати сучасні методи профілактики, діагностики, лікування, реабілітації хворих дітей.</t>
  </si>
  <si>
    <t>8333(9), машиніст вагоноперекидача</t>
  </si>
  <si>
    <t>Учень машиніста вагоноперекидача. Керує вагоноперекидачами під час розвантаження або перевантаження вагонеток. Пускає в роботу і зупиняє вагоноперекидач. Стежить за станом вагонеток, гальм і кріплень тросів. Приймає і подає сигнали, пов’язані з роботою вагоноперекидача. Змазує, чистить і прибирає вагоноперекидач. Усуває дрібні несправності в роботі обслуговуваного устаткування</t>
  </si>
  <si>
    <t>ВИКОНУЄ РУЧНЕ ЗВАРЮВАННЯ ДЕТАЛЕЙ, АГРЕГАТІВ, ВУЗЛІВ, НАПРАВЛЯЄ ДЕФЕКТИ ВІДПОВІДНИХ ДЕТАЛЕЙ, ВИКОНУЄ РІЗАННЯ МЕТАЛІВ, ДЕТАЛЕЙ В РІЗНИХ ПОЛОЖЕННЯХ.ЗА БІЛЬШ ДЕТАЛЬНОЮ ІНФОРМАЦІЄЮ ЗВЕРТАТИСЯ ДО ТЕТЯНИ МИКОЛАЇВНИ</t>
  </si>
  <si>
    <t>9132(7), прибиральник службових приміщень</t>
  </si>
  <si>
    <t>Вологе та сухе прибирання ,протирка меблів,підвіконь,декоративних елементів ,очищення скляних поверхонь(вікна,двері,дзеркала).Дезинфекція санвузлів.
За більш детальною інформацією звертатись до Тетяни Іванівни</t>
  </si>
  <si>
    <t>ПРИГОТУВАННЯ ТА ПОДАЧА АЛКОГОЛЬНИХ ТА БЕЗАЛКОГОЛЬНИХ НАПОЇВ, ПРИГОТУВАННЯ КАВИ ТА ЧАЮ, ОБСЛУГОВУВАННЯ ВІДВІДУВАЧІВ ТА ПІДТРИМКА ПОРЯДКУ НА РОБОЧОМУ МІСЦІ.
ЗА БІЛЬШ ДЕТАЛЬНОЮ ІНФОРМАЦІЄЮ ЗВЕРТАТИСЯ ДО ТЕТЯНИ РОМАНІВНИ.</t>
  </si>
  <si>
    <t>ВІДПОВІДАЄ ЗА ПІДТРИМАННЯ ЧИСТОТИ ТА ГІГІЄНИ В ТУАЛЕТНИХ КІМНАТАХ РИНКУ. ПРИБИРАЄ СМІТТЯ, МИЄ ПІДЛОГУ, СТІНИ, САНТЕХНІКУ, ДЗЕРКАЛА ДВЕРІ ТА ІНШІ ПОВЕРХНІ. ОБРОБЛЯЄ ПОВЕРХНІ ДЕЗИНФІКУЮЧИМИ ЗАСОБАМИ. ЗАБЕЗПЕЧУЄ НАЯВНІСТЬ ТУАЛЕТНОГО ПАПЕРУ, ПАПЕРОВИХ РУШНИКІВ.
ЗА БІЛЬШ ДЕТАЛЬНОЮ ІНФОРМАЦІЄЮ ЗВЕРТАТИСЯ ДО ТЕТЯНИ РОМАНІВНИ.</t>
  </si>
  <si>
    <t>ЗВАРЮЄ ТА РІЖЕ МЕТАЛЕВІ КОНСТРУКЦІЇ, ТРУБОПРОВОДИ ЗА ДОПОМОГОЮ ЗВАРЮВАЛЬНОГО АПАРАТУ.
ЗА БІЛЬШ ДЕТАЛЬНОЮ ІНФОРМАЦІЄЮ ЗВЕРТАТИСЯ ДО ТЕТЯНИ РОМАНІВНИ</t>
  </si>
  <si>
    <t>8162(3), машиніст (кочегар) котельної</t>
  </si>
  <si>
    <t>Обслуговування парових котлів на твердому паливі (дрова, тирса). Робота полягає у опалювані приміщень , вміння користуватися вимірювальною апаратурою, засобами автоматизованого регулювання і безпеки, перевіряти їх справність, попереджувати можливість аварій та несправності в роботі котлів</t>
  </si>
  <si>
    <t>1226.2(95), начальник постачання</t>
  </si>
  <si>
    <t>Забезпечення ефективної роботи бази МТП з приймання, зберігання, обліку та видачі матеріально-технічних ресурсів підприємства згідно з виробничими потребами. Керування процесами приймання, обліку, видачі та інвентаризації матеріалів і ресурсів. Участь у проведенні інвентаризацій, підготовка відповідної звітності, списання непридатних матеріалів. Контроль за дотриманням вимог охорони праці, пожежної та екологічної безпеки на території бази. Організація роботи підлеглого персоналу: комірників, вантажників.</t>
  </si>
  <si>
    <t>1222.2(28), майстер гірничий підземної дільниці</t>
  </si>
  <si>
    <t>Здійснює оперативне керівництво і технічний нагляд за роботою гірничопрохідницьких бригад (ланок) на дільниці ВТБ. Забезпечує виконання графіків робіт, ефективне використання виробничого устаткування та економне витрачання проходки.</t>
  </si>
  <si>
    <t xml:space="preserve">РОБОТА ПОВ'ЯЗАНА З РОЗПИЛЕННЯМ, ОБРОБКОЮ ТА ВСТАНОВЛЕННЯМ ДЕРЕВИНИ. 
ЗА БІЛЬШ ДЕТАЛЬНОЮ ІНФОРМАЦІЄЮ ЗВЕРТАТИСЯ ДО ТЕТЯНИ РОМАНІВНИ. </t>
  </si>
  <si>
    <t>2229.2(4), лікар-рентгенолог</t>
  </si>
  <si>
    <t>ПРОВОДИТИ КВАЛІФІКОВАНЕ РЕНТГЕНОЛОГІЧНЕ ОБСТЕЖЕННЯ, АНАЛІЗ РЕНТГЕНОЛОГІЧНИХ ЗНІМКІВ. ВЕСТИ МЕДИЧНУ-СТАТИСТИЧНУ ДОКУМЕНТАЦІЮ. КОНТРОЛЮВАТИ РЕЄСТРАЦІЮ ТА ОБЛІК ОБСТЕЖЕНИХ. ЗАБЕЗПЕЧУВАТИ ОФОРМЛЕННЯ ТА НАДАННЯ ВИСНОВКІВ . ВИЯВЛЯТИ ТА АНАЛІЗУВАТИ ПРИЧИНИ РОЗБІЖНОСТЕЙ  РЕНТГЕНОЛОГІЧНОГО ОБСТЕЖЕННЯ ІЗ РЕЗУЛЬТАТАМИ ІНШИХ ДІАГНОСТИЧНИХ ДОСЛІДЖЕНЬ.                                        
За більш детальною інформацією звертатися до Анжела Григорівна.</t>
  </si>
  <si>
    <t>2213.2(9), зоотехнік</t>
  </si>
  <si>
    <t>UA46120090280053087, Львівська область, Шептицький, Радехівська міська ТГ, Полове</t>
  </si>
  <si>
    <t>Здійснювати відбір тварин для стандартизації стада, організацію відтворення та штучного осіменіння тварин, вести зоотехнічну документацію і організовувати облік у господарстві з питань тваринництва.</t>
  </si>
  <si>
    <t>3439(14), інструктор</t>
  </si>
  <si>
    <t>ПЛАНУЄ, ОРГАНІЗОВУЄ, ПРОВОДИТЬ РІЗНОМАНІТНІ АНІМАЦІЙНІ ЗАХОДИ.
За більш детальною інформацією звертатися до Марії Миколаївни.</t>
  </si>
  <si>
    <t>8162(15), оператор котельні</t>
  </si>
  <si>
    <t>Повинен запускати, розтоплювати і зупиняти котли, а також здійснювати їх підживлення водою, регулювати згоряння палива, контролювати вимірювальні прилади, відстежуючи тиск, рівень води і її температуру. Проводити очищення води, запускати і зупиняти двигуни, насоси, вентилятори та інші механізми, необхідні для адекватної роботи пристроїв, розташованих в котельні. Чистити котли і апаратуру, котра обслуговує котли, а також брати участь у ремонтних роботах техніки.</t>
  </si>
  <si>
    <t>8111(3), машиніст бульдозера (гірничі роботи)</t>
  </si>
  <si>
    <t>КЕРУЄ БУЛЬДОЗЕРОМ, ПЕРЕМІЩЕННЯ ПОРОДИ ТА ВУГІЛЛЯ;  РОБОТИ В КАР'ЄРІ, НА ВІДВАЛАХ, СКЛАДАХ; ПІД ЧАС РОЗРІВНЮВАННЯ ПОРОДИ, ГРУНТУ, ВУГІЛЛЯ; ПРОФІЛЮВАННЯ І ПІДВИЩЕННЯ ВІДКОЧУВАЛЬНИХ КОЛІЙ; ПРОВЕДЕННЯ РОЗКРИВНИХ РОБІТ; ПІДТЯГУВАННЯ ГІРНИЧОЇ МАСИ У ВИБОЇ ДО ЕКСКАВАТОРІВ;  ВИРІВНЮВАННЯ ПІДОШВИ ВИБОЮ, КРУТИХ СХИЛІВ, УСТУПІВ; РОЗОРЮВАННЯ ВІДВАЛІВ. ДОТРИМУВАТИСЬ ПРАВИЛ З ТЕХНІКИ БЕЗПЕКИ ТА ОХОРОНИ ПРАЦІ. ЗА БІЛЬШ ДЕТАЛЬНОЮ ІНФОРМАЦІЄЮ ЗВЕРТАТИСЯ ДО АНЖЕЛИ ГРИГОРІВНИ.</t>
  </si>
  <si>
    <t>НАДАННЯ МЕНЮ ВІДВІДУВАЧАМ, РЕКОМЕНДАЦІЇ ЩОДО СТРАВ І НАПОЇВ.СЕРВІРУВАННЯ СТОЛУ.СВОЄЧАСНА ПОДАЧА ГОТОВИХ СТРАВ. 
ЗА ДОДАТКОВОЮ ІНФОРМАЦІЄЮ ЗВЕРТАТИСЯ ДО МАРІЇ МИКОЛАЇВНИ.</t>
  </si>
  <si>
    <t>ПРИГОТУВАННЯ ПЕРШИХ ТА ДРУГИХ СТРАВ,САЛАТІВ ВІДПОВІДНО ДО ТЕХНІЧНИХ КАРТ.ЗА БІЛЬШ ДЕТАЛЬНОЮ ІНФОРМАЦІЄЮ ЗВЕРТАТИСЬ Д ТЕТЯНИ ІВАНІВНИ.</t>
  </si>
  <si>
    <t>ЯКІСНЕ ПРИГОТУВАННЯ СТРАВ ЗГІДНО ТЕХНОЛОГІЧНИХ КАРТ.
ЗА БІЛЬШ ДЕТАЛЬНОЮ ІНФОРМАЦІЄЮ ЗВЕРТАТИСЯ ДО ТЕТЯНИ РОМАНІВНИ.</t>
  </si>
  <si>
    <t>7242(31), слюсар з контрольно-вимірювальних приладів та автоматики (електроніка)</t>
  </si>
  <si>
    <t>РЕМОНТ, РЕГУЛЮВАННЯ, ВИПРОБУВАННЯ І НАЛАДКА ТЕПЛОВИМІРЮВАЛЬНИХ ЕЛЕКТРОДИНАМІЧНИХ АВТОМАТИЧНИХ ПРИЛАДІВ.ЗА БІЛЬШ ДЕТАЛЬНОЮ ІНФОРМАЦІЄЮ ЗВЕРТАТИСЯ ДЛ ТЕТЯНИ МИКОЛАЇВНИ</t>
  </si>
  <si>
    <t>UA46120110080087248, Львівська область, Шептицький, Сокальська міська ТГ, Великий</t>
  </si>
  <si>
    <t>Самостійно і в повному обсязі веде облік доходів і витрат за прийнятою на підприємстві формою бухгалтерського обліку . Забезпечує контроль і відображення на рахунках бухгалтерського обліку всіх господарських операцій, складає і подає бухгалтерську звітність;  проводить інвентаризацію майна.</t>
  </si>
  <si>
    <t>Компетентне ввічлеве обслуговування відвідувачів, надання грамотних консультацій з будь-яких питань, що стосуються продукції та здійсненя покупки. Створення комфортних умов для вибору товару. Підрахунок вартості покупки. При необхідності продавець-консультант повинен виконувати обов'язки касира і вміти оформити покупку на касі.</t>
  </si>
  <si>
    <t>4131(4), службовець на складі (комірник)</t>
  </si>
  <si>
    <t>Приймання, зберігання та видача товару відповідно до накладних; ведення обліку та контроль залишків; переміщення продукції на складі та участь у проведенні інвентеризації .</t>
  </si>
  <si>
    <t xml:space="preserve">Виконання підсобних робіт на виробничому підприємстві — вантажо -розвантажувальні, земляні роботи та інше. Піднімання вантажу до 20 кг. </t>
  </si>
  <si>
    <t>3340, вихователь</t>
  </si>
  <si>
    <t>У центрі з догляду за дітьми надає послуги у сфері дошкільної освіти, здійснює денний догляд за дітьми, проводить групові заняття на розвиток та взаємодію.За більш детальною інформацією звертатися до Анжели Григорівни</t>
  </si>
  <si>
    <t>8332(2), дорожній робітник.</t>
  </si>
  <si>
    <t>РОБОТИ ПОВ'ЯЗАНІ З РЕМОНТОМ ДОРІГ, ТРОТУАРІВ, ВСТАНОВЛЕННЯ БОРДЮР, ПОРЕБРИКІВ, РОЗПОДІЛЕННЯ ДОРОЖНЬО-БУДІВЕЛЬНИХ МАТЕРІАЛІВ ПІД ЧАС РЕМОНТУ ДОРОЖНІХ ОСНОВ ТА ПОКРИТТЯ, ДОТРИМАННЯ ПРАВИЛ ВНУТРІШНЬОГО ТРУДОВОГО РОЗПОРЯДКУ ТА ТЕХНІКИ БЕЗПЕКИ.
ЗА БІЛЬШ ДЕТАЛЬНОЮ ІНФОРМАЦІЄЮ ЗВЕРТАТИСЯ ДО ТЕТЯНИ РОМАНІВНИ.</t>
  </si>
  <si>
    <t>7139(8), покрівельник будівельний</t>
  </si>
  <si>
    <t>ВИКОНУЄ МОНТАЖ ТА РЕМОНТ РІЗНИХ ТИПІВ ПОКРІВЕЛЬ, ВСТАНОВЛЕННЯ ГІДРО- ТА ТЕПЛОІЗОЛЯЦІЇ ДАХУ, МОНТАЖ ВОДОСТІЧНИХ СИСТЕМ ТА СНІГОЗАТРИМУВАЧІВ, ОБЛАШТУВАННЯ МАНСАРДНИХ ВІКОН ТА ІНШИХ ЕЛЕМЕНТІВ ДАХУ, ДІАГНОСТИКА ТА УСУНЕННЯ ПРОТІКАНЬ, РОЗРАХУНОК НЕОБХІДНИХ МАТЕРІАЛІВ ТА ЇХ ПІДГОТОВКА ДО РОБОТИ. ЗА БІЛЬШ ДЕТАЛЬНОЮ ІНФОРМАЦІЄЮ ЗВЕРТАТИСЯ ДО АНЖЕЛИ ГРИГОРІВНИ.</t>
  </si>
  <si>
    <t>2419.2(28), консультант</t>
  </si>
  <si>
    <t>КОНСУЛЬТУВАННЯ ПЕДАГОГІЧНИХ ПРАЦІВНИКІВ ЗАКЛАДІВ ОСВІТИ ЧЕРВОНОГРАДСЬКОЇ МІСЬКОЇ РАДИ З ПИТАНЬ ПРОФЕСІЙНОГО РОЗВИТКУ, ПРОХОДЖЕННЯ КУРСІВ ПІДВИЩЕННЯ КВАЛІФІКАЦІЇ.
ЗА БІЛЬШ ДЕТАЛЬНОЮ ІНФОРМАЦІЄЮ ЗВЕРТАТИСЯ ДО ТЕТЯНИ РОМАНІВНИ.</t>
  </si>
  <si>
    <t>9322(191), приймальник матеріалів, напівфабрикатів таготових виробів (легка промисловість)</t>
  </si>
  <si>
    <t>ПРИЙОМ, РОЗМІЩЕННЯ, ЗБЕРІГАННЯ, ОБЛІК РУХУ ПРОДУКЦІЇ, СКАНУВАННЯ ТА ВНЕСЕННЯ В БАЗУ ДАНИХ ІНФОРМАЦІЇ, КОНТРОЛЬ ЗАЛИШКІВ.
ЗА БІЛЬШ ДЕТАЛЬНОЮ ІНФОРМАЦІЄЮ ЗВЕРТАТИСЯ ДО ТЕТЯНИ РОМАНІВНИ.</t>
  </si>
  <si>
    <t>7129(12), робітник з комплексного обслуговування й ремонту будинків</t>
  </si>
  <si>
    <t>ПІДТРИМАННЯ СПРАВНОСТІ ІНЖЕНЕРНИХ СИСТЕМ (ЕЛЕКТРОПОСТАЧАННЯ, ВОДОПОСТАЧАННЯ, ОПАЛЕННЯ, ВЕНТИЛЯЦІЯ).КОНТРОЛЬ РОБОТИ ОБЛАДНАННЯ В КЛАСАХ, САНВУЗЛАХ, ПІДСОБНИХ ПРИМІЩЕННЯХ.ВИКОНАННЯ ДРІБНИХ РЕМОНТІВ, ФАРБУВАННЯ, ЛІКВІДАЦІЯ АВАРІЙНИХ СИТУАЦІЙ.ОБСУГОВУВАННЯ САНІТАРНО-ТЕХНІЧНИХ ПРИСТРОЇВ.ЗА БІЛЬШ ДЕТАЛЬНОЮ ІНФОРМАЦІЄЮ ЗВЕРТАТИСЯ ДО ТЕТЯНИ МИКОЛАЇВНИ</t>
  </si>
  <si>
    <t>Пошук нових клієнтів та розвиток партнерської бази; контроль замовлень і робота з документацією; виконання планів продажу та звітність</t>
  </si>
  <si>
    <t>Проводить розрахунки з покупцями.Дотримуватися чистоти і порядку на робочому місці.Робота на POS терміналі.За більш детальною інформацією  звертатися до Тетяни МИКОЛАЇВНИ</t>
  </si>
  <si>
    <t xml:space="preserve">- планування та проведення занять відповідно до програми дошкільної освіти;
- проведення ігор: сюжетно-рольових, дидактичних, рухливих, театралізованих;
- стимулювання творчих здібностей(малювання, ліплення,аплікація тощо)
- формування навичок гігієни;
- забезпечення безпеки життя і здоров’я дітей;
- ведення документації(характеристики, плани роботи)
</t>
  </si>
  <si>
    <t>8162(22), чистильник</t>
  </si>
  <si>
    <t xml:space="preserve"> Стежить за роботою установок і апаратів на обслуговуваній дільниці. Своєчасно очищає вентилятори, вентиляційні пристрої, пилові тютюнові камери; рукавно-надувні фільтри установок розпушення різаного тютюну і пневматичного розщину.</t>
  </si>
  <si>
    <t>7212(10), електрозварник ручного зварювання</t>
  </si>
  <si>
    <t>Виконує ручне електродугове, плазмове, газове зварювання та різання деталей, металевих конструкцій та труб зі сталей, чавунів, кольорових металів та сплавів.Направляє складні деталі, вузли, трубопроводи та ємності.За більш детальною інформацією звертатися до Тетяни Миколаївни</t>
  </si>
  <si>
    <t>9311(10), гірник</t>
  </si>
  <si>
    <t>Здійснює виконання всього комплексу робіт з проходження горизонтиальних, похилих та вертикальних гірничих виробок. Здійснює буріння шпурів та свердловин усіма типами перфораторів та самохідних бурових установок. За більш детальною інформацією звертатися до Анжели Григорівни.</t>
  </si>
  <si>
    <t>8112(8), апаратник сушіння торфу та торфових виробів</t>
  </si>
  <si>
    <t xml:space="preserve">Веде технологічний процес сушіння торфу в цеху, регулює сушіння торфу в сушильних апаратах складної конструкції., контролює якість висушеного торфу, веде завантаження технологічної печі, регулює подачу фрезерного торфу. </t>
  </si>
  <si>
    <t>Майстер виробничого навчання за професією майстер  перукар полягає у ведені практичних занять , здійснює навчання здобувачів освіти з урахуванням специфіки навчальної дисципліни. Проводить навчальні заняття  згідно з розподілом навчального навантаження.</t>
  </si>
  <si>
    <t>ПРИБИРАННЯ ПРИЛЕГЛОЇ ТЕРИТОРІЇ ТА КОСІННЯ ТРАВИ, ПОБІЛКА ДЕРЕВ, ЗБИРАННЯМ ЛИСТЯ, НАЯВНІСТЬ МЕДИЧНОЇ КНИЖКИ ТА ОБОВ'ЯЗКОВЕ ПРОХОДЖЕННЯ МЕДОГЛЯДУ, 2 РАЗИ У РІК, ВІДПОВІДАЛЬНІСТЬ, ВИДАЄТЬСЯ СПЕЦОДЯГ ТА ІНВЕНТАР. 
За більш детальною інформацією звертатись до Тетяни Іванівни.</t>
  </si>
  <si>
    <t>ОБСЛУГОВУЄ КРУГЛОВ'ЯЗАЛЬНІ МАШИНИ.ЗДІЙСНЮЄ КОНТРОЛЬ ЯКОСТІ.ЗА БІЛЬШ ДЕТАЛЬНОЮ ІНФОРМАЦІЄЮ ЗВЕРТАТИСЯ ДО ТЕТЯНИ МИКОЛАЇВНИ</t>
  </si>
  <si>
    <t>КЕРУЄ АВТОТРАНСПОРТНИМ ЗАСОБОМ (ЛЕГКОВИЙ АВТОМОБІЛЬ), ВІДПОВІДАЄ ЗА БЕЗПЕКУ ПАСАЖИРІВ, ЗА БЕЗПЕКУ РУХУ АВТОМОБІЛЯ ТА ЙОГО ТЕХНІЧНУ СПРАВНІСТЬ.
ЗА БІЛЬШ ДЕТАЛЬНОЮ ІНФОРМАЦІЄЮ ЗВЕРТАТИСЯ ДО ТЕТЯНИ РОМАНІВНИ.</t>
  </si>
  <si>
    <t>ВИХОВНА ОСВІТНЯ ФУНКЦІЯ.ОХОРОНА І ЗМІЦНЕННЯ ЗДОРОВ'Я ДІТЕЙ, ФОРМУВАННЯ КУЛЬРУНО-ГІГІЄНІЧНИХ НАВИЧОК.ВІДПОВІДАЛЬНІСТЬ ЗА ЖИТТЯ І ЗДОРОВ'Я ДІТЕЙ ПІД ЧАС ОСВІТНЬОГО ПРОЦЕСУ.ЗА БІЛЬШ ДЕТАЛЬНОЮ ІНФОРМАЦІЄЮ ЗВЕРТАТИСЬ ДО АНЖЕЛИ ГРИГОРІВНИ.</t>
  </si>
  <si>
    <t>Виконувати роботу кухаря, знання технологічних карт, приготування різноманітних страв, випічка хліба та хлібобулочних виробів.
За більш детальною інформацією звертатися до Тетяни Романівни.</t>
  </si>
  <si>
    <t>РОБОТА НА 0,25 СТАВКИ ПО СУМІСНИЦТВУ. КОНСУЛЬТУВАННЯ УЧИТЕЛІВ ІНОЗЕМНИХ МОВ У ЗЗСО. За більш детальною інформацією звертатися до Анжели Григорівни.</t>
  </si>
  <si>
    <t xml:space="preserve">ПРОВЕДЕННЯ ВАНТАЖНО-РОЗВАНТАЖУВАЛЬНИХ РОБІТ.
За більш детальною інформацією звертатися до Марії Миколаївни.
</t>
  </si>
  <si>
    <t xml:space="preserve">Виконує    роботи  по фарбуванню поверхні, які потребують високоякісного оброблення після нанесення шпаклівок і грунтувальних шарів фарбами і лаками в декілка тонів, здійснює шліфування , грунтування, прооліфлення та полірування їх різними інструментами.Виконує пофарбування під простий рисунок різних порід дерева, мармуру та каменю.Наносить малюнки і написи за трафаретами у два-три тони, цифри та літери без трафаретів.Обробляє поверхні набризкуванням.  </t>
  </si>
  <si>
    <t>7423(10), шліфувальник по дереву</t>
  </si>
  <si>
    <t>ПРИЙМАННЯ ТА ПЕРЕВІРКА ЗАГОТОВОК І ВИРОБІВ З ДЕРЕВИНИ ПЕРЕД ОБРОБКОЮ.ШЛІФУВАННЯ ДЕРЕВИНИ.КОНТРОЛЬ ЯКОСТІ,ВИЯВЛЕННЯ ДЕФЕКТІВ ПОВЕРХНІ.
ЗА ДОДАТКОВОЮ ІНФОРМАЦІЄЮ ЗВЕРТАТИСЯ ДО МАРІЇ МИКОЛАЇВНИ.</t>
  </si>
  <si>
    <t>1229.6(63), керівник гуртка</t>
  </si>
  <si>
    <t>Керівник гуртка з технічних дисциплін. Уміння організовувати і проводити навчальну роботу з дітьми шкільного віку з використанням сучасних форм і методик; забезпечувати різнобічний розвиток учнів шляхом колективної та індивідуальної роботи.</t>
  </si>
  <si>
    <t>ВИКОНУЄ СКЛАДНІ РОБОТИ ПІД ЧАС ФАРБУВАННЯ ТА РЕМОНТУ ПОВЕРХОНЬ МЕХАНІЗОВАНИМ ІНСТРУМЕНТОМ ТА АГРЕГАТАМИ ВИСОКОГО ТИСКУ.
ЗА БІЛЬШ ДЕТАЛЬНОЮ ІНФОРМАЦІЄЮ ЗВЕРТАТИСЯ ДО МАРІЇ МИКОЛАЇВНИ.</t>
  </si>
  <si>
    <t xml:space="preserve">Готувати страви та кулінарні вироби, які потребують нескладної кулінарної обробки. Варити, смажити, запікати та випікати вироби. Виготовляти страви з концентратів. Порціонувати (комплектувати) страви. </t>
  </si>
  <si>
    <t xml:space="preserve"> Старший майстер виробничого навчання  полягає у забезпеченні умов якісної професійно-практичної підготовки фахівців. Планує навчально-виробничу діяльність у ліцеї,організовує навчально-методичну роботу майстрів виробничого навчання, організовує та забезпечує роботу навчальних лабораторій та майстерень . займається організацією  підвищення кваліфікації майстрів виробничого навчання. Контролює виконання планів виробничого навчання, навчальних планів та програм.</t>
  </si>
  <si>
    <t>7411(15), обвалювальник м'яса</t>
  </si>
  <si>
    <t>Обвалювання туш і частин туш худоби; розділяти вручну або на стрічкових пилках туші,півтуші,четвертини на частини(відруби) для обвалювання м'яса</t>
  </si>
  <si>
    <t>ЗНАННЯ ТЕХНОЛОГІЇ ПРИГОТУВАННЯ УСІХ ВИДІВ СТРАВ ТА КУЛІНАРНИХ ВИРОБІВ. ДОТРИМАННЯ ПРАВИЛ ОФОРМЛЕННЯ ТА ПОДАЧІ ПОРЦІЙНИХ СТРАВ ТА СТРАВ НА ЗАМОВЛЕННЯ. ЗАСТОСУВАННЯ СУЧАСНОГО ПІДХОДУ ДО ПРИГОТУВАННЯ СТРАВ. ДОТРИМАННЯ УМОВ ТА СТРОКІВ ЗБЕРІГАННЯ ТА РЕАЛІЗАЦІЇ СИРОЇ ТА ГОТОВОЇ ПРОДУКЦІЇ. 
За більш детальною інформацією звертатися до Марії Миколаївни.</t>
  </si>
  <si>
    <t>Уміння керувати  автомобільними транспортними засобами, які відносяться до ( категорії КАМАЗ,ЗІЛ) . Виконувати вимоги правил дорожнього руху, правил перевезень вантажів, пасажирів та багажу. Забезпечувати належний технічний стан автотранспортного засобу. Контролювати правильність завантаження, розміщення та кріплення вантажів і ін.</t>
  </si>
  <si>
    <t>ЗАБЕЗПЕЧУЄ ТЕХНІЧНЕ ОСЛУГОВУВАННЯ КРУГЛОВ'ЯЗАЛЬНИХ МАШИН.ЗА БІЛЬШ ДЕТАЛЬНОЮ ІНФОРМАЦІЄЮ ЗВЕРТАТИСЯ ДО ТЕТЯНИ МИКОЛАЇВНИ</t>
  </si>
  <si>
    <t>БАРМЕН ГОТУЄ ТА ПОДАЄ АЛКОГОЛЬНІ ТА БЕЗАЛКОГОЛЬНІ НАПОЇ ВІДВІДУВАЧАМ ЗАКЛАДУ. ВІН ЗМІШУЄ КОКТЕЙЛІ, НАПОЇ ЗГІДНО РЕЦЕПТУРИ, ОФОРМЛЯЄ ЇХ ДЛЯ ПОДАЧІ, СПІЛКУЄТЬСЯ З КЛІЄНТАМИ БАРУ. ЗА БІЛЬШ ДЕТАЛЬНОЮ ІНФОРМАЦІЄЮ ЗВЕРТИСЯ ДО ТЕТЯНИ МИКОЛАЇВНИ</t>
  </si>
  <si>
    <t>Робота на поверхні шахти. За більш детальною інформацією звертатися до Тетяни Романівни.</t>
  </si>
  <si>
    <t>РОБОТА ПОВ'ЯЗАНА ІЗ РЕМОНТОМ АПАРАТУРИ ТА ЕЛЕКТРОПРИЛАДІВ. ОБСЛУГОВУВАННЯ  СИЛОВІ ТА ОСВІТЛЮВАЛЬНІ ЕЛЕКТРОУСТАНОВКИ ЗІ СКЛАДНИМИ СХЕМАМИ ВМИКАННЯ, ВИКОНУЄ ОПЕРАТИВНІ ПЕРЕМИКАННЯ В ЕЛЕКТРОМЕРЕЖІ З РЕВІЗІЄЮ ТРАНСФОРМАТОРІВ, ВИМИКАЧІВ РОЗ'ЄДНУВАЧІВ І ПРИВОДІВ ДО НИХ З РОЗБИРАННЯМ КОНСТРУКТИВНИХ ЕЛЕМЕНТІВ, ЗДІЙСНЮЄ ПЕРЕВІРКУ, МОНТАЖ І РЕМОНТ, ВИЯВЛЯЄ ТА ЛІКВІДОВУЄ ВІДМОВЛЕННЯ І НЕСПРАВНОСТІ ЕЛЕКТРОУСТАТКУВАННЯ.ЗА БІЛЬШ ДЕТАЛЬНОЮ ІНФОРМАЦІЄЮ ЗВЕРТАТИСЯ ДО ТЕТЯНИ МИКОЛАЇВНИ</t>
  </si>
  <si>
    <t>ПРОДАЖ АВТОЗАПЧАСТИН ТА СУПУТНІХ ТОВАРІВ.
ЗА БІЛЬШ ДЕТАЛЬНОЮ ІНФОРМАЦІЄЮ ЗВЕРТАТИСЯ ДО ТЕТЯНИ РОМАНІВНИ</t>
  </si>
  <si>
    <t>Завантажувальні і вивантажувальні роботи,внутрішньоскладське переміщення вантажів:сортування,укладання,перенесення,переважування,фасування тощо вручну, або із застосуванням найпростіших вантажно-розвантажувальних пристроїв.Кріплення та укриття вантажів на складах і транспортних засобах</t>
  </si>
  <si>
    <t>ЗАБЕЗПЕЧУЄ КОНТРОЛЬ ТА ЗБЕРІГАННЯ МАТЕРІАЛЬНИХ ЦІННОСТЕЙ.ЗДІЙСНЮЄ КОНТРОЛЬ ТЕХНОЛОГІЧНИХ ПРОЦЕСІВ.ЗА БІЛЬШ ДЕТАЛЬНОЮ ІНФОРМАЦІЄЮ ЗВЕРТАТИСЬ ДО ТЕТЯНИ ІВАНІВНИ.</t>
  </si>
  <si>
    <t xml:space="preserve">РОБОТА НА ЕКСКАВАТОРІ, КЕРУЄ ЕКСКАВАТОРОМ ПІД ЧАС ВИКОНАННЯ РОЗКРИВНИХ, ВИБУХОВИХ, ЗАЧИЩУВАЛЬНИХ, ВІДВАЛЬНИХ ТА ВАНТАЖНО-РОЗВАНТАЖУВАЛЬНИХ РОБОТАХ. ДОТРИМУВАТИСЬ ПРАВИЛ З ТЕХНІКИ БЕЗПЕКИ ТА ОХОРОНИ ПРАЦІ. ЗА БІЛЬШ ДЕТАЛЬНОЮ ІНФОРМАЦІЄЮ ЗВЕРТАТИСЯ ДО АНЖЕЛИ ГРИГОРІВНИ.                                                                  </t>
  </si>
  <si>
    <t>1475.4(2), менеджер (управитель) з постачання</t>
  </si>
  <si>
    <t>Бере участь у розробці політики підприємства з питань матеріально-технічного  забезпечення виробничих потреб підприємства. Здійснює пошук постачальників. Розвиває відносини з постачальниками, аналізує їх виробничі і фінансові можливості. Готує і коректує переддоговірну документацію. Проводить переговори з постачальниками. Укладає договори з постачальниками. За більш детальною інформацією звертатися до Анжели Григорівни</t>
  </si>
  <si>
    <t>5169(3), охоронник</t>
  </si>
  <si>
    <t>UA46120130040075447, Львівська область, Шептицький, Червоноградська міська ТГ, Бендюга</t>
  </si>
  <si>
    <t>ОХОРОНЯЄ СТАЦІОНАРНИЙ ОБ'ЄКТ,А ТАКОЖ ВАНТАЖІ,ЩО ПЕРЕВОЗЯТЬСЯ РІЗНИМИ ТРАНСПОРТНИМИ ЗАСОБАМИ.ЗА БІЛЬШ ДЕТАЛЬНОЮ ІНФОРМАЦІЄЮ ЗВЕРТАТИСЬ ДО ТЕТЯНИ ІВАНІВНИ</t>
  </si>
  <si>
    <t>8332(25), машиніст дорожньо-транспортних машин</t>
  </si>
  <si>
    <t>КЕРУЄ КОЛІЙНИМИ МАШИНАМИ ТА МЕХАНІЗМАМИ, ЩО ЗАСТОСОВУЮТЬСЯ ПІД ЧАС РЕМОНТУ І ПОТОЧНОГО УТРИМАННЯ КОЛІЇ, ШТУЧНИХ СПОРУД І ЗЕМЛЯНОГО ПОЛОТНА.ЗА БІЛЬШ ДЕТАЛЬНОЮ ІНФОРМАЦІЄЮ ЗВЕРТАТИСЯ ДО ТЕТЯНИ МИКОЛАЇВНИ</t>
  </si>
  <si>
    <t>2340(9), вчитель-логопед</t>
  </si>
  <si>
    <t>ПРОВОДИТИ КОРЕКЦІЙНУ РОБОТУ З ДІТЬМИ З ВАДАМИ ПСИХО-ФІЗИЧНОГО І МОВЛЕННЄВОГО РОЗВИТКУ.КОНСУЛЬТУВАННЯ БАТЬКІВ.
За більш детальною інформацією звертатися до Марії Миколаївни.</t>
  </si>
  <si>
    <t>7233(67), слюсар з ремонту дорожньо-будівельних машин та тракторів</t>
  </si>
  <si>
    <t>ПРОВЕДЕННЯ РЕМОНТУ ДОРОЖНЬО-БУДІВЕЛЬНОЇ ТЕХНІКИ, ВСТАНОВЛЕННЯ ДОДАТКОВОГО ОБЛАДНАННЯ.ЗА БІЛЬШ ДЕТАЛЬНОЮ ІНФОРМАЦІЄЮ ЗВЕРТАТИСЯ ДО АНЖЕЛИ ГРИГОРІВНИ.</t>
  </si>
  <si>
    <t>3115(45), технік з експлуатації та ремонту устаткування</t>
  </si>
  <si>
    <t>ТЕХНІЧНЕ ОБСЛУГОВУВАННЯ АВТОМАТІВ РОЗЛИВУ ВОДИ У М.ЧЕРВОНОГРАДІ, М.СОКАЛІ, М.СОСНІВЦІ.ЗА БІЛЬШ ДЕТАЛЬНОЮ ІНФОРМАЦІЄЮ ЗВЕРТАТИСЯ ДО ТЕТЯНИ МИКОЛАЇВНИ</t>
  </si>
  <si>
    <t>UA46120050010093637, Львівська область, Шептицький, Добротвірська селищна ТГ, Добротвір</t>
  </si>
  <si>
    <t>Робота з ПРРО,облік залишків,робота з покупцем.За більш детальною інформацією звертатись до Тетяни Іванівни.</t>
  </si>
  <si>
    <t>8162(4), машиніст котлів</t>
  </si>
  <si>
    <t>ЗАБЕЗПЕЧЕННЯ ПРАВИЛЬНОЇ РОБОТИ КОТЕЛЬНІ, СПОСТЕРЕЖЕННЯ ЗА КОНТРОЛЬНО-ВИМІРЮВАЛЬНИМИ ПРИЛАДАМИ, ВИЯВЛЕННЯ ТА УСУНЕННЯ НЕСПРАВНОСТЕЙ.</t>
  </si>
  <si>
    <t>UA46120010120053130, Львівська область, Шептицький, Белзька міська ТГ, Карів</t>
  </si>
  <si>
    <t>Продаж, викладка товарів продовольчої та непродовольчої групи. Здійснює розрахунок за товари. За більш детальною інформацією звератися до Анжели Григорівни.</t>
  </si>
  <si>
    <t>РОБОТА ПОВ'ЯЗАНА СТЕЖЕННЯМ ЗА ПОКАЗНИКАМИ ПРИЛАДІВ ЕЛЕКТРОВОЗА У КАБІНІ, ПІДГОТОВКУ ЕЛЕКТРОВОЗА ДО РОБОТИ, КЕРУВАННЯ ЕЛЕКТРОВОЗОМ, ЗБИРАННЯ МАТЕРІАЛІВ І ВУГІЛЛЯ, ПЕРЕВЕЗЕННЯ ВИБУХОВИХ МАТЕРІАЛІВ. ЗА БІЛЬШ ДЕТАЛЬНОЮ ІНФОРМАЦІЄЮ ЗВЕРТАТИСЯ ДО ТЕТЯНИ РОМАНІВНИ.</t>
  </si>
  <si>
    <t>Перевезення сільськогосподарської продукції до місць призначення на автомобілі ГАЗЕЛЬ. Забезпечення товару що транспортуються і технічно справний стан самого автомобіля; несе відповідальність за технічну справність автомобіля: здійснює огляд автомобіля  перед виїздом та після виїзду на лінію, відповідає за дотриманням належного  санітарного стану в автомобілі.</t>
  </si>
  <si>
    <t>1210.1(67), заступник директора</t>
  </si>
  <si>
    <t xml:space="preserve">Заступник директора з медичної частини. Організовує проведення нарад медичних працівників пансіонату. Контролює своєчасне підвищення кваліфікації медичних працівників. Реалізовує впровадження сучасних методів лікування. Забезпечує належні виробничі умови матеріально-технічного оснащення лікувального підрозділу. Організовує щорічні та періодичні медичні огляди медичних працівників та підопічних. </t>
  </si>
  <si>
    <t>Обслуговування відвідувачів, підготовка товару до продажу, викладка.Розрахунок з клієнтом.За більш детальною інформацією звертатися до Тетяни Миколаївни</t>
  </si>
  <si>
    <t>ПІДСОБНІ РОБОТИ ПО ФАСУВАННЮ, РОЗВАНТАЖУВАННЮ ТА ЗАВАНТАЖЕННЮ ПРОДУКЦІЇ. За більш детальною інформацією звертатися до Анжели Григорівни.</t>
  </si>
  <si>
    <t>8262(34), формувальник трикотажних виробів</t>
  </si>
  <si>
    <t>ВИКОНАННЯ РОБІТ ПО ФОРМУВАННЮ ПАНЧІШНО-ШКАРПЕТКОВИХ ВИРОБІВ.
ЗА БІЛЬШ ДЕТАЛЬНОЮ ІНФОРМАЦІЄЮ ЗВЕРТАТИСЯ ДО ТЕТЯНИ РОМАНІВНИ.</t>
  </si>
  <si>
    <t>Уміння забезпечувати роботу з ефективного і культурного обслуговування відвідувачів. Створювати для них комфортні умови. Здійснювати контроль за збереженням матеріальних цінностей. Консультувати відвідувачів з питань наявних послуг. Вживати заходів щодо запобігання і ліквідації конфліктних ситуацій.</t>
  </si>
  <si>
    <t>МОНТАЖ ТА ДЕМОНТАЖ ЕЛЕКТРООБЛАДНАННЯ ТА ЕЛЕКТРИЧНИХ МЕРЕЖ; ПЕРЕВІРКА, ОБСЛУГОВУВАННЯ ТА РЕМОНТ ЕЛЕКТРОУСТАТКУВАННЯ% ДОТРИМАННЯ ПРАВИЛ БЕЗПЕКИ ПРИ РОБОТІ З ЕЛЕКТРООБЛАДНАННЯМ.
ЗА БІЛЬШ ДЕТАЛЬНОЮ ІНФОРМАЦІЄЮ ЗВЕРТАТИСЯ ДО ТЕТЯНИ РОМАНІВНИ.</t>
  </si>
  <si>
    <t>КЕРУВАННЯ БУРОВИМИ СТАНКАМИ ТА УСТАНОВКАМИ РІЗНИХ ТИПІВ ПІД ЧАС БУРІННЯ І РОЗШИРЕННЯ СВЕРДЛОВИН. МОНТАЖ,  ДЕМОНТАЖ,  ПЕРЕМІШЕННЯ, УСТАНОВКА І РЕГУЛЮВАННЯ БУРОВОГО ОБЛАДНАННЯ ДЛЯ ЙОГО УСТАТКУВАННЯ. ПРОВОДИТЬ ЗАМІНУ ДВИГУНІВ, АВТОМАТІВ, ПУСКАЧІВ. ПРОВОДИТЬ ЛІКВІДАЦІЙНІ РОБОТИ.
ЗА БІЛЬШ ДЕТАЛЬНОЮ ІНФОРМАЦІЄЮ ЗВЕРТАТИСЯ ДО ТЕТЯНИ РОМАНІВНИ.</t>
  </si>
  <si>
    <t>7212(3), газозварник</t>
  </si>
  <si>
    <t>ВИКОНУЄ ГАЗОВЕ ЗВАРЮВАННЯ КОНСТРУКЦІЙ ТА ТРУБОПРОВОДІВ, ЯКІ ПРИЗНАЧЕНІ ДЛЯ РОБОТИ ПІД ДИНАМІЧНИМ НАВАНТАЖЕННЯМ І ТИСКОМ.
ЗА БІЛЬШ ДЕТАЛЬНОЮ ІНФОРМАЦІЄЮ ЗВЕРТАТИСЯ ДО МАРІЇ МИКОЛАЇВНИ.</t>
  </si>
  <si>
    <t>2221.2(24), лікар-отоларинголог</t>
  </si>
  <si>
    <t xml:space="preserve">Надає спеціалізовану лікувальну, діагностичну і консультативну отоларингологічну допомогу населенню, в тому числі швидку та невідкладну. Застосовує сучасні методи дослідження , діагностики та лікування. </t>
  </si>
  <si>
    <t>2221.2(36), лікар-ортопед-травматолог</t>
  </si>
  <si>
    <t>Лікар-ортопед-травматолог дитячий.Розпізнає, класифікує та лікує вади розвитку опорно-рухового апарату, набуті захворювання та травми хребта й кінцівок. Вживає заходів щодо зміцнення здоров'я населення та профілактики захворювань опорно-рухового апарату. Застосовує сучасні методи профілактики, діагностики, лікування, реабілітації та диспансеризації хворих із захворюваннями та травмами опорно-рухової системи.</t>
  </si>
  <si>
    <t>Нарахування заробітної плати працівникам  . Ведення табелю обліку робочого часу, листки непрацездатності, розпорядження керівництва, що стосуються питань заробітної плати. Бухгалтер приймає документацію, перевіряє її і готує до обробки для розрахунку заробітку. Створення в системі бухобліку записів, які фіксують видачу заробітної плати найманому персоналу. Розрахунок і перерахування податків, зборів та інших платежів. Готує періодичну звітність по ЕСН у встановлені терміни. Готує дані для складання балансу</t>
  </si>
  <si>
    <t>2320(10), вчитель закладу загальної середньої освіти</t>
  </si>
  <si>
    <t>UA46120130060057593, Львівська область, Шептицький, Червоноградська міська ТГ, Борятин</t>
  </si>
  <si>
    <t>ВЧИТЕЛЬУКРАЇНСЬКОЇ  МОВИ ТА ЛІТЕРАТУРИ. УМІННЯ ОРГАНІЗОВУВАТИ І ПРОВОДИТИ НАВЧАЛЬНУ РОБОТУ З ДІТЬМИ 5-9 КЛАСІВ З ВИКОРИСТАННЯМ СУЧАСНИХ ФОРМ І МЕТОДИК; ЗАБЕЗПЕЧУВАТИ РІЗНОБІЧНИЙ РОЗВИТОК УЧНІВ ШЛЯХОМ КОЛЕКТИВНОЇ ТА ІНДИВІДУАЛЬНОЇ РОБОТИ. ЗА БІЛЬШ ДЕТАЛЬНОЮ ІНФОРМАЦІЄЮ ЗВЕРТАТИСЬ ДО ТЕТЯНИ ІВАНІВНИ.</t>
  </si>
  <si>
    <t>Уміння забезпечувати роботу з ефективного обслуговування клієнтів СК, консультувати клієнтів з питань, що стосуються графіку тренувань та оплати,вести облік відвідування тренувань,розглядати претензії клієнтів, усувати конфліктні ситуації між відвідувачами. Контролювати дотримання чистоти, збереження обладнання.Приймати і оформляти необхідні документи та ін.</t>
  </si>
  <si>
    <t>8262(3), в'язальник трикотажних виробів та полотна</t>
  </si>
  <si>
    <t>ЗАПРАВЛЯЄ ПРЯЖУ У В'ЯЗАЛЬНІ АВТОМАТИ, ЗАМІНЮЄ БАБІНИ, ЛІКВІДОВУЄ ОБРИВИ НИТОК, ПЕРЕВІРЯЄ ЯКІСТЬ ВИРОБІВ З ДОТРИМАННЯ ПАРАМЕТРІВ.ЗА БІЛЬШ ДЕТАЛЬНОЮ ІНФОРМАЦІЄ ЗВЕРТАТИСЯ ДО ТЕТЯНИ МИКОЛАЇВНИ</t>
  </si>
  <si>
    <t>9162(4), прибиральник територій</t>
  </si>
  <si>
    <t>ВИКОНУЄ РОБОТУ З ПРИБИРАННЯ ТА ПІДТРИМКИ ЧИСТОТИ НА ТЕРИТОРІЇ РИНКУ, ВКЛЮЧАЮЧИ ПРИБИРАННЯ СМІТТЯ, ВИНЕСЕННЯ СМІТТЯ ТА ІНШІ ПІДСОБНІ ОБОВ'ЯЗКИ.
ЗА БІЛЬШ ДЕТАЛЬНОЮ ІНФОРМАЦІЄЮ ЗВЕРТАТИСЯ ДО ТЕТЯНИ РОМАНІВНИ.</t>
  </si>
  <si>
    <t>ЗАСЕЛЕННЯ ГОСТЕЙ НА ПРОЖИВАННЯ. БРОНЮВАННЯ НОМЕРІВ.
ЗА БІЛЬШ ДЕТАЛЬНОЮ ІНФОРМАЦІЄЮ ЗВЕРТАТИСЯ ДО ТЕТЯНИ РОМАНІВНИ</t>
  </si>
  <si>
    <t>8171(3), оператор складально-пакувальних машин</t>
  </si>
  <si>
    <t>ЗДІЙСНЮЄ  ПРОЦЕС РОЗФАСУВАННЯ ТА ПАКУВАННЯ ГОТОВОЇ ПРОДУКЦІЇ І ВИРОБІВ НА СКЛАДАЛЬНО-ПАКУВАЛЬНИХ МАШИНАХ , НАПІВАВТОМАТАХ ТА АВТОМАТАХ.ПЕРІОДИЧНО КОНТРОЛЮЄ ЯКІСТЬ УПАКОВКИ ТА НАКЛЕЮВАННЯ ЕТИКЕТОК.ВИКОНУЄ ІНШІ РОБОТИ ЗА ВКАЗІВКОЮ МАЙСТРА.
За більш детальною інформацією звертатися до Марії Миколаївни.</t>
  </si>
  <si>
    <t>ЗДІЙСНЮЄ ВІДКРИТТЯ І ЗАКРИТТЯ МАГАЗИНУ.ПРОВОДИТЬ РЕВІЗІЮ,СПИСАННЯ ТОВАРІВ.ЗДІЙСНЮЄ ІНКАСАЦІЮ.КОНТРОЛЮЄ АКТУАЛЬНІСТЬ ЦІННИКІВ.
За більш детальною інформацією звертатися до Марії Миколаївни.</t>
  </si>
  <si>
    <t>Зустріч і спілкування з відвідувачами закладу, проведення їх до столика і надання допомоги у виборі місця, столика.Адміністратор спостерігає за їх обслуговуванням і коригує роботу обслуговуючого персоналу.За більш детальною інформацією звертатися до Тетяни Миколаївни</t>
  </si>
  <si>
    <t>UA46120110010087965, Львівська область, Червоноградський район, Сокальська міська ТГ, Сокаль (видалений)</t>
  </si>
  <si>
    <t>Вчитель психології.Уміння організовувати і проводити виховну і навчальну роботу з дітьми шкільного віку з використанням сучасних форм і методик.</t>
  </si>
  <si>
    <t>Робота пов'язана з навантаженням, розвантаженням, сортуванням, складанням, перенесенням вантажів вручну та із застосуванням візків, тачок. Графік роботи понеділок- п'ятниця з 08-00 до 16-30.</t>
  </si>
  <si>
    <t>Налагодження та програмування обладнання з ЧПУ, виготовлення деталей за кресленням, контроль якості виготовлених деталей</t>
  </si>
  <si>
    <t>3231(2), сестра медична (брат медичний)</t>
  </si>
  <si>
    <t>Здійснює нагляд за санітарними правилами та режимом дня,проводить профілактичні щеплення за призначенням лікаря.</t>
  </si>
  <si>
    <t>5133, соціальний робітник</t>
  </si>
  <si>
    <t>Обслуговування одиноких непрацездатних громадян.
За більш детальною інформацією звертатися до Тетяни Романівни</t>
  </si>
  <si>
    <t xml:space="preserve">Формування хлібобулочних виробів, дотримання всіх стандартних норм при випічці хліба, дотримання гігієни і санітарії, вміла поведінка з печами. </t>
  </si>
  <si>
    <t>ОБВАЛЮЄ ТУШІ І ЧАСТИНИ ТУШ ХУДОБИ. РОЗДІЛЯЄ ВРУЧНУ АБО НА СТРІЧКОВИХ ПИЛКАХ ТУШІ, ПІВТУШІ,ЧЕТВЕРТИНИ НА ЧАСТИНИ (ВІДРУБИ) ДЛЯ ОБВАЛЮВАННЯ М'ЯСА. 
За більш детальною інформацією звертатися до Марії Миколаївни.</t>
  </si>
  <si>
    <t xml:space="preserve">ПРОВЕДЕННЯ ПСИХОДІАГНОСТИКИ РОЗВИТКУ ДІТЕЙ  ЩОДО ГОТОВНОСТІ ЇХ ДО ШКОЛИ.КОНСУЛЬТУВАННЯ БАТЬКІВ.
За більш детальною інформацією звертатися до Марії Миколаївни.
</t>
  </si>
  <si>
    <t>3419(3), інспектор кредитний</t>
  </si>
  <si>
    <t>ЕФЕКТИВНЕ УПРАВЛІННЯ ФІЛІЄЮ.БІЗНЕС ПЛАНУВАННЯ І РОЗВИТОК ПРОДАЖІВ.РОЗРОБКА ТА РЕАЛІЗАЦІЯ ПОЛІТИКИ  ПРОДАЖІВ КОМПАНІЇ.РОЗРОБКА СТРАТЕГІЇ РОЗВИТКУ НОВИХ ТА ІСНУЮЧИХ НАПРЯМКІВ.РОЗРОБКА ПЛАНУ ПРОДАЖІВ І ЗАБЕЗПЕЧЕННЯ ЙОГО ВИКОНАННЯ.КООРДИНАЦІЯ ДІЯЛЬНОСТІ,РОЗВИТОК І НАВЧАННЯ  ТА МОТИВАЦІЯ СПІВРОБІТНИКІВ.РОБОТА З ПРОБЛЕМНОЮ ЗАБОРГОВАНІСТЮ.ЗА БІЛЬШ ДЕТАЛЬНОЮ ІНФОРМАЦІЄЮ ЗВЕРТАТИСЬ ДО ТЕТЯНИ ІВАНІВНИ.</t>
  </si>
  <si>
    <t>5131(2), помічник вихователя</t>
  </si>
  <si>
    <t>ДОПОМОГА ВИХОВАТЕЛЮ У ПРОВЕДЕННІ ЗАНЯТЬ, ІГОР, ПРОГУЛЯНОК.ОРГАНІЗАЦІЯ ХАРЧУВАННЯ:ОТРИМАННЯ ЇЖІ З ХАРЧОБЛОКУ, РОЗДАЧА ДІТЯМ, ДОПОМОГА ПІД ЧАС ПРИЙОМУ ЇЖІ, МИТТЯ ПОСУДУ.ПРИБИРАННЯ ПРИМІЩЕННЯ, ДОТРИМАННЯ САНІТАРНО-ГІГІЄНІЧНИХ НОРМ.СУПРОВІД ДІТЕЙ ПІД ЧАС ПРОУЛЯНОК.ЗА БІЛЬШДЕТАЛЬНОЮ ІНФОРМАЦІЄЮ ЗВЕРТАТИСЯ ДО ТЕТЯНИ МИКОЛАЇВНИ.</t>
  </si>
  <si>
    <t>Виконує підсобні роботи та допоміжні роботи на виробничих дільницях та будівельних майданчиках, складах, базах, коморах. Виконує вантаження, вивантаження, переміщення вручну та на візках і укладання вантажів різних видів. За більш детальною інформацією звертатися до Анжели Григорівни.</t>
  </si>
  <si>
    <t>7241(101), слюсар-електрик з ремонту електроустаткування</t>
  </si>
  <si>
    <t>Робота пов'язана з ремонтом та обслуговуванням діючих електроустановок напругою до 1000 В.</t>
  </si>
  <si>
    <t>1315(3), керуючий рестораном (кафе, їдальнею і т. ін.)</t>
  </si>
  <si>
    <t>ЗДІЙСНЮЄ КЕРІВНИЦТВО ДІЯЛЬНІСТЮ КАФЕ-БАРУ,ОРГАНІЗОВУЄ РОБОТУ СТРУКТУРНИХ ПІДРОЗДІЛІВ ПІДПРИЄМСТВА,ЗАБЕЗПЕЧУЄ ЇХ ВЗАЄМОДІЮ.ЗА БІЛЬШ ДЕТАЛЬНОЮ ІНФОРМАЦІЄЮ ЗВЕРТАТИСЬ ДО ТЕТЯНИ ІВАНІВНИ</t>
  </si>
  <si>
    <t xml:space="preserve">ВСТАНОВЛЕННЯ І ОЧИСТКИ ДОРОЖНІХ ЗНАКІВ,ПЕРЕКИДАННЯ ПІСКУ,ГРАВІЮ,ЩЕБНЮ НА ДОРОГАХ.ЗА БІЛЬШ ДЕТАЛЬНОЮ ІНФОРМАЦІЄЮ ЗВЕРТАТИСЬ ДО ТЕТЯНИ ІВАНІВНИ. 
</t>
  </si>
  <si>
    <t>9322(297), укладальник-пакувальник</t>
  </si>
  <si>
    <t>УКЛАДАЄ ГОТОВУ ПРОДУКЦІЮ АБО ОКРЕМІ ЇЇ КОМПОНЕНТИ В ТАРУ, ПАЧКИ, ЯЩИКИ БЕЗ ОФОРМЛЕННЯ. ЗАГОРТАЄ В РІЗНИЙ ОБГОТКОВИЙ МКАТЕРІАЛ, УКЛАДАЄ ВРУЧНУ ДЕТАЛІ ТА ПРОДУКЦІЮ В ПАПЕРОВУ, КАРТОННУ ТАРУ З КОМПЛЕКТУВАННЯМ ЗА ВІДОМІСТЮ  АБО СПЕЦИФІКАЦІЄЮ. ЗА БІЛЬШ ДЕТАЛЬНОЮ ІНФОРМАЦІЄЮ ЗВЕРТАТИСЯ ДО ТЕТЯНИ РОМАНІВНИ.</t>
  </si>
  <si>
    <t>8264(52), машиніст із прання та ремонту спецодягу</t>
  </si>
  <si>
    <t>ВІДПОВІДАЄ ЗА ПРАННЯ, СУШІННЯ, ПРАСУВАННЯ ТА ДРІБНИЙ РЕМОНТ БІЛИЗНИ, СПЕЦОДЯГУ, ТА ІНШИХ ПРЕДМЕТІВ. ТАКОЖ СТЕЖИТЬ ЗА САНІТАРНИМ СТАНОМ ПРИМІЩЕННЯ ПРАЛЬНІ, ДОТРИМУЄТЬСЯ ПРАВИЛ БЕЗПЕКИ ТА НОРМ ГІГІЄНИ. РОБОТА НА 0,5 СТАВКИ.
ЗА БІЛЬШ ДЕТАЛЬНОЮ ІНФОРМАЦІЄЮ ЗВЕРТАТИСЯ ДО ТЕТЯНИ РОМАНІВНИ.</t>
  </si>
  <si>
    <t>ПОМІЧНИК ВИХОВАТЕЛЯ ДЛЯ ДІТЕЙ ВІКОМ ДО 3-х РОКІВ. БЕРЕ УЧАСТЬ В ОРГАНІЗАЦІЇ ЖИТТЄДІЯЛЬНОСТІ ДІТЕЙ, ЗАБЕЗПЕЧУЄ ГІГІЄНІЧНИЙ ДОГЛЯД ЗА ДІТЬМИ. БЕРЕ УЧАСТЬ В ОРГАНІЗАЦІЇ ХАРЧУВАННЯ. ДОПОМАГАЄ ВИХОВАТЕЛЮ ПІД ЧАС ОДЯГАННЯ , РОЗДЯГАННЯ, УМИВАННЯ ДІТЕЙ. ЗАБЕЗПЕЧУЄ САНІТАРНИЙ СТАН ПРИМІЩЕННЯ ТА ОБЛАДНАННЯ ГРУПИ. РОБОТА НА 0,45 СТАВКИ.
ЗАБІЛЬШ ДЕТАЛЬНОЮ ІНФОРМАЦІЄЮ ЗВЕРТАТИСЯ ДО ТЕТЯНИ РОМАНІВНИ.</t>
  </si>
  <si>
    <t xml:space="preserve">2221.2(31), лікар-терапевт </t>
  </si>
  <si>
    <t>Профілактика, діагностика, лікування, реабілітація та диспансеризація хворих терапевтичного профілю. Нагляд за побічними реакціями/діями лікарських засобів.Уміння користуватися об'єктивними методами та визначати спеціальні обстеження хворого; оцінювати тяжкість стану хворого, вживати необхідних заходів до виведення хворого з цього стану.</t>
  </si>
  <si>
    <t>UA46120070150096961, Львівська область, Шептицький, Лопатинська селищна ТГ, Нивиці</t>
  </si>
  <si>
    <t xml:space="preserve">Здійснює динамічне спостереження за станом здоров’я кожного члена сім’ї з проведенням необхідного обстеження і оздоровлення за індивідуальним планом. Застосовує сучасні методи діагностики, лікування та реабілітації пацієнтів.  Формування та контроль виконання плану обстежень та лікування, аналіз результатів досліджень, призначення медичних препаратів та інших лікувальних заходів. </t>
  </si>
  <si>
    <t>2224.2(9), фармацевт клінічний</t>
  </si>
  <si>
    <t xml:space="preserve">Надання рекомендацій щодо ефективності лікарських препаратів.Уміння організовувати роботу аптеки по забезпеченню населення і установ охорони здоров'я медичними виробами; здійснювати контроль наявності в аптеці всього асортименту медикаментів та інших медичних виробів відповідно до нормативів, дотримання правил продажу і відпуску на пільгових умовах медикаментів для окремих категорій хворих. </t>
  </si>
  <si>
    <t>КЕРУВАННЯ АТОМОБІЛЬНИМ ТРАНСПОРТОМ ФУРА З ПРИЧІПОМ ПО УКРАЇНІ ТА ЗА ЇЇ МЕЖАМИ. ДОТРИМАННЯ ПРАВИЛ ДОРОЖНЬОГО РУХУ,МАТЕРІАЛЬНА ВІДПОВІДАЛЬНІСТЬ ЗА ТОВАР.ЗА БІЛЬШ ДЕТАЛЬНОЮ ІНФОРМАЦІЄЮ ЗВЕРТАТИСЬ ДО ТЕТЯНИ ІВАНІВНИ.</t>
  </si>
  <si>
    <t>ВЕДЕННЯ КАСОВИХ ОПЕРАЦІЙ; РОБОТА З КАСОВИМ АПАРАТОМ, ТЕРМІНАЛОМ; СКЛАДАННЯ КАСОВОЇ ЗВІТНОСТІ; ПРИЙОМ, ОБЛІК І ВИДАЧА КОШТІВ; МАТЕРІАЛЬНА ВІДПОВІДАЛЬНІСТЬ.
ЗА БІЛЬШ ДЕТАЛЬНОЮ ІНФОРМАЦІЄЮ ЗВЕРТАТИСЯ ДО АНЖЕЛИ ГРИГОРІВНИ</t>
  </si>
  <si>
    <t>Миття столового та кухонного посуду, приборів із застосуванням мийних та дезінфікуючих засобів. Прибирання приміщення, в якому розташоване обладнання мийки, утримання його в належному стані.</t>
  </si>
  <si>
    <t>ЯКІСНЕ ПРИГОТУВАННЯ СТРАВ ЗА РЕЦЕПТАМИ,  СУЧАСНА ПОДАЧА ГОТОВИХ СТРАВ. ОРГАНІЗОВУЄ ЗБЕРІГАННЯ ПРОДУКТІВ ВІДПОВІДНО ДО САНІТАРНО-ГІГІЄНІЧНИХ НОРМ. 
ЗА БІЛЬШ ДЕТАЛЬНОЮ ІНФОРМАЦІЄЮ ЗВЕРТАТИСЯ ДО ТЕТЯНИ іВАНІВНИ</t>
  </si>
  <si>
    <t>8112(9), бункерувальник</t>
  </si>
  <si>
    <t xml:space="preserve">Заповнює бункери за допомогою елеваторів, конвеєрів, вагонеток з перекидним кузовом. Керує затворами і живильниками, пускає і зупиняє конвеєри. Веде поточний ремонт бункерних затворів. </t>
  </si>
  <si>
    <t>РОБОТА НА ДЕРЕВООБРОБНИХ ВЕРСТАТАХ(ФУГАНОК, ФРЕЗЕР, ЦИРКУЛЯРНА ПИЛА).ЧИТАННЯ КРЕСЛЕНЬ ТА ТЕХНІЧНОЇ ДОКУМЕНТАЦІЇ, ТОЧНЕ ВИКОНАННЯ ЗАГОТОВОК ВІДПОВІДНО ДО ПРОЕКТУ.ОБРОБКА МАСИВУ ДЕРЕВИНИ:РІЗАННЯ, ПРОФІЛЮВАННЯ,ШЛІФУВАННЯ.ЗБІРКА ГОТОВИХ ВИРОБІВ, ВИГОТОВЛЕННЯ МЕБЛІВ ЗА ІНДИВІДУАЛЬНИМИЗАМОВЛЕННЯМИ.ВИКОРИСТАННЯ РУЧНОГО ТА ЕЛЕКТРОІНСТРУМЕНТУДЛЯ ОБРОБКИ ДЕРЕВА.За більш детальною інформацією звертатися до Тетяни Миколаївни.</t>
  </si>
  <si>
    <t>4223(10), Телефоніст місцевого телефонного зв'язку</t>
  </si>
  <si>
    <t>ОБСЛУГОВУЄ ВНУТРІШНЬОЗОНОВИЙ ЗВ'ЯЗОК ТА НАПРЯМКИ МІЖМІСЬКОГО ЗВ'ЯЗКУ, ЩО МАЮТЬ НЕВЕЛИКЕ НАВАНТАЖЕННЯ. З'ЄДНУЄ АБОНЕНТІВ ДЛЯ МІЖМІСЬКИХ ТЕЛЕФОННИХ РОЗМОВ. ПРИЙМАЄ ТА ЗДІЙСНЮЄ З'ЄДНАННЯ ЗА ВХІДНИМИ ТА ТРАНЗИТНИМИ ЗАМОВЛЕННЯМИ. СТЕЖИТЬ ЗА ВИЗИВНИМИ І ВІДБІЙНИМИ СИГНАЛАМИ.
ЗА БІЛЬШ ДЕТАЛЬНОЮ ІНФОРМАЦІЄЮ ЗВЕРТАТИСЯ ДО ТЕТЯНИ РОМАНІВНИ.</t>
  </si>
  <si>
    <t>2145.2(18), інженер з експлуатації машинно-тракторного парку</t>
  </si>
  <si>
    <t xml:space="preserve">Аналізує та відповідає за витрату коштів на ремонт. Організовує правильну експлуатацію та технічне обслуговування машинно-тракторного парку, своєчасний та якісний його ремонт. Впроваджує заходи з поліпшення експлуатації та якості ремонту і підвищення рівня технічної готовності машин та устаткування. </t>
  </si>
  <si>
    <t>7241(104), слюсар-електромонтажник</t>
  </si>
  <si>
    <t>ОБСЛУГОВУВАННЯ ТА РЕМОНТ ЕЛЕКТРООБЛАДНАННЯ,ЕЛЕКТРОМЕХАНІЧНОГО ОБЛАДНАННЯ.
ЗА БІЛЬШ ДЕТАЛЬНОЮ ІНФОРМАЦІЄЮ ЗВЕРТАТИСЬ ДО ТЕТЯНИ ІВАНІВНИ.</t>
  </si>
  <si>
    <t>ПРАЦЮВАТИ З ДІЮЧОЮ КЛІЄНТСЬКОЮ БАЗОЮ ТА ПОШУК НОВОЇ. 
За більш детальною інформацією звертатися до Тетяни Романівни.</t>
  </si>
  <si>
    <t>ВИКОНУЄ РОБОТИ З ВИКОРИСТАННЯМ ЕКСКАВАТОРА ЗГІДНО З ПОСТАВЛЕНИМИ ЗАВДАННЯМИ ( ПРОВЕДЕННЯ КОМПЛЕКСУ ЗЕМЛЕРИЙНИХ РОБІТ).</t>
  </si>
  <si>
    <t>ПРОВЕДЕННЯ ОГЛЯДУ РОТОВОЇ ПОРОЖНИНИ, ДІАГНОСТИКА ЗАХВОРЮВАНЬ ЗУБІВ,ЯСЕН,ЩЕЛЕП.ПРОВЕДЕННЯ ЛІКУВАННЯ КАРІЄСУ,ПУЛЬПІТУ,ПЕРІОДОНТИТУ ТОЩО.ВИКОНАННЯ ПЛОМБУВАННЯ,ПРОТЕЗУВАННЯ,ВИДАЛЕННЯ ЗУБІВ,ПРОФЕСІЙНА ГІГІЄНА РОТОВОЇ ПОРОЖНИНИ.
ЗА ДОДАТКОВОЮ ІНФОРМАЦІЄЮ ЗВЕРТАТИСЯ ДО АНЖЕЛИ ГРИГОРІВНИ.</t>
  </si>
  <si>
    <t>ПРОВІДНИЙ БУХГАЛТЕР З ОБЛІКУ ОСНОВНИХ ЗАСОБІВ ОРГАНІЗОВУЄ І КОНТРОЛЮЄ ПРОВЕДЕННЯ У ВСТАНОВЛЕНІ СТРОКИ І ПРИ ЗМІНІ МАТЕРІАЛЬНО ВІДПОВІДАЛЬНИХ ОСІБ  ІНВЕНТАРИЗАЦІЮ ОСНОВНИХ ЗАСОБІВ, БЕРЕ УЧАСТЬ У КОМІСІЇ ІЗ СПИСАННЯ ОСНОВНИХ ФОНДІВ ТА ОФОРМЛЯЄ ДОКУМЕНТАЦІЮ.
ЗА БІЛЬШ ДЕТАЛЬНОЮ ІНФОРМАЦІЄЮ ЗВЕРТАТИСЯ ДО ТЕТЯНИ РОМАНІВНИ.</t>
  </si>
  <si>
    <t>Учень гірника підземного. Робота пов'язана з ремонтом шахтного обладнання, наявність посвідчення з професії 3 розряду, шкідливі умови праці, гнучкий графік роботи (4 зміни), доїзд на роботу за рахунок коштів підприємства, видається спецодяг, дотримуватись правил з техніки безпеки та охорони праці. Приймається на роботу після проходження курсів УКК.</t>
  </si>
  <si>
    <t>ВОЛОГЕ ТА СУХЕ ПРИБИРАННЯ ПІДЛОГИ. ПРОТИРКА МЕБЛІВ,ПІДВІКОНЬ, ДЕКОРАТИВНИХ ЕЛЕМЕНТІВ.ОЧИЩЕННЯ СКЛЯНИХ ПОВЕРХОНЬ (ВІКНА, ДЗЕРКАЛА).ДЕЗІНФЕКЦІЯ САНВУЗЛІВ.
ЗА ДОДАТКОВОЮ ІНФОРМАЦІЄЮ ЗВЕРТАТИСЯ ДО МАРІЇ МИКОЛАЇВНИ.</t>
  </si>
  <si>
    <t>Проведення зварювальних робіт на виробничому майданчику компанії (електродугова зварка з викорис танням аргону), проведення ремонтних робіт обладнання.</t>
  </si>
  <si>
    <t>ОБСЛУГОВУВАННЯ ВОДОНАГРІВНИХ КОТЛІВ,ЗУПИНЯТИ ТА ЗАПУСКАТИ ЇХ.ПІДТРИМУВАТИ НЕОБХІДНИЙ ТИСК ТЕМПЕРАТУРИ ВОДИ.ЗА БІЛЬШ ДЕТАЛЬНОЮ ІНФОРМАЦІЄЮ ЗВЕРТАТИСЬ ДО ТЕТЯНИ ІВАНІВНИ.</t>
  </si>
  <si>
    <t xml:space="preserve">Забезпечує підтримку справного стану, безаварійну і надійну роботу обслуговуваних пристроїв та електроустаткування, здійснює зборку, монтаж  нових електричних мереж, проводить планово-попереджувальний ремонт електр.частини устаткування , виявляє причини зносу, вживає заходи щодо їх попередження та усунення, забезпечує правильну експлуатацію, своєчасний якісний ремонт трансформатора ТП-2 і електричних мереж підприємства. </t>
  </si>
  <si>
    <t>УКЛАДАЄ ГОТОВУ ПРОДУКЦІЮ, АБО ОКРЕМІ ЇЇ КОМПОНЕНТИ В ТАРУ- ПАКЕТИ, ПАЧКИ, ЯЩИКИ БЕЗ ОФОРМЛЕННЯ. ЗАГОРТАЄ В РІЗНИЙ ЗАГОРТКОВИЙ МАТЕРІАЛ, УКЛАДАЄ ВРУЧНУ ДЕТАЛІ ТА ПРОДУКЦІЮ В ПАПЕРОВУ, КАРТОННУ ТАРУ З КОМПЛЕКТУВАННЯМ ЗА ВІДОМІСТЮ АБО СПЕЦИФІКАЦІЄЮ. НАКЛЕЮЄ ЕТИКЕТКИ. МАРКУЄ ОБГОРТКОВИЙ МАТЕРІАЛ.
ЗА БІЛЬШ ДЕТАЛЬНОЮ ІНФОРМАЦІЄЮ ЗВЕРТАТИСЯ ДО ТЕТЯНИ ІВАНІВНИ.</t>
  </si>
  <si>
    <t>ВИПІЧКА ХЛІБОБУЛОЧНИХ ВИРОБІВ. 
ЗА БІЛЬШ ДЕТАЛЬНОЮ ІНФОРМАЦІЄЮ ЗВЕРТАТИСЯ ДО ТЕТЯНИ РОМАНІВНИ</t>
  </si>
  <si>
    <t xml:space="preserve">Готувати зал до обслуговування споживачів, отримувати посуд, прибори, столову білизну; полірувати посуд, прибори, складати серветки різними способами; здійснювати попередню сервірування столів. </t>
  </si>
  <si>
    <t>ВИКОНУЄ БУДЬ-ЯКІ ВАНТАЖНО-РОЗВАНТАЖУВАЛЬНІ РОБОТИ.
ЗА БІЛЬШ ДЕТАЛЬНОЮ ІНФОРМАЦІЄЮ ЗВЕРТАТИСЯ ДО ТЕТЯНИ РОМАНІВНИ.</t>
  </si>
  <si>
    <t>РОБОТА ПРОДАВЦЯ ПРОДОВОЛЬЧИХ ТОВАРІВ У ВІДДІЛІ ПЕКАРНІ. ВИКЛАДКА ХЛІБОБУЛОЧНИХ ВИРОБІВ НА ВІТРИНИ.ЗВАЖУВАННЯ І ПАКУВАННЯ ХЛІБОБУЛОЧНИХ ВИРОБІВ.РОЗМІЩЕННЯ ЦІННИКІВ НА ХЛІБОБУЛОЧНИХ ВИРОБАХ.
За більш детальною інформацією звертатися до Марії Миколаївни.</t>
  </si>
  <si>
    <t>5123(17), бариста</t>
  </si>
  <si>
    <t>Приготування кави та холодних напоїв.  Обслуговування клієнтів та надання консультацій щодо кавових та інших напоїв . Знання сортів кави та різних технологій приготування чаю та коктейлів.  Підтримування порядку та чистоти на робочому місці.</t>
  </si>
  <si>
    <t>Виготовлення дерев'яних деталей до корпусних меблів, точність та акуратність в роботі, дотримання техніки безпеки при використанні механічних та електричних інструментів.</t>
  </si>
  <si>
    <t>1222.1(4), головний енергетик</t>
  </si>
  <si>
    <t>КЕРУЄ ПРАЦІВНИКАМИ ПІДРОЗДІЛІВ ПІДПРИЄМСТВА, ЯКІ ЗДІЙСНЮЮТЬ ЕНЕРГЕТИЧНЕ ОБСЛУГОВУВАННЯ ВИРОБНИЦТВА. ПЛАНУЄ ТА ОРГАНІЗОВУЄ РОБОТИ З ЕКСПЛУАТАЦІЇ УСТАТКУВАННЯ.ЗАБЕЗПЕЧУЄ БЕЗПЕРЕБІЙНУ РОБОТУ ОБЛАДНАННЯ. ЗА БІЛЬШ ДЕТАЛЬНОЮ ІНФОРМАЦІЄЮ ЗВЕРТАТИСЯ ДО ТЕТЯНИ МИКОЛАЇВНИ</t>
  </si>
  <si>
    <t>1231(2), головний бухгалтер</t>
  </si>
  <si>
    <t>Організація і здійснення бухгалтерського обліку господарсько-фінансової діяльності товариства, керування роботою бухгалтерії, контроль за фінансовими потоками</t>
  </si>
  <si>
    <t xml:space="preserve">Робота на деревообробних верстатах налагодження верстатів, обробка деревини (поздовжній та поперечний розкрій деревини, розмітка деревини, торцювання,стругання, фугування, свердління, фрезерування,встановлення різального інструменту, контроль якості деталей, відбір дефектних деталей). </t>
  </si>
  <si>
    <t>Виконання ручного дугового зварювання металевих конструкцій (чорні метали, іноді – нержавіюча сталь)
Підготовка деталей до зварювання: очищення, вирівнювання, фіксація
Контроль якості зварних швів (візуальний, механічний)
Робота згідно з кресленнями, технічними умовами та інструкціями
Участь у складанні виробів з металу (балки, рами, ферми, резервуари тощо)
Володіння суміжними видами зварювання (напівавтомат MIG/MAG, аргонне TIG 
Дотримання правил охорони праці та техніки безпеки</t>
  </si>
  <si>
    <t>Організація роботи складу: прийом, зберігання та відправка товару згідно накладних; виконання інших завдань, пов'язаних із складською діяльністю.</t>
  </si>
  <si>
    <t xml:space="preserve">Робота полягає в підтримці дієздатності в безпечному стані та ремонті електроустаткування житлових будинків, в  обслуговуванні та ремонту зовнішнього освітлення. Уміння виконувати профілактичні перевірки та поточний ремонт, оформлювати графіки профілактичних робіт. Виконувати роботи різної складності, прокладати кабель. Перевіряти устаткування на відповідність технічних умов, електричним параметрам та нормам. </t>
  </si>
  <si>
    <t>1477.1, менеджер (управитель) з персоналу</t>
  </si>
  <si>
    <t>UA46120090060094296, Львівська область, Шептицький, Радехівська міська ТГ, Вузлове</t>
  </si>
  <si>
    <t>Підбирає персонал на господарство відповідно до цілей розвитку, виробничої програми та кадрової політики господарства. Аналізує та оцінює кадровий потенціал господарства,  визначає рівень відповідностіперсоналу вимогам посади.</t>
  </si>
  <si>
    <t>7412(14), формувальник тіста</t>
  </si>
  <si>
    <t>ФОРМУВАТИ ВИРОБИ З ТІСТА УСТАНОВЛЕНОЇ ФОРМИ, ЗВАЖУВАТИ, ЗМАЩУВАТИ І ОЗДОБЛЮВАТИ ЗАГОТОВКИ. ГОТУВАТИ ФОРМИ ДЛЯ ВИПІЧКИ.
За більш детальною інформацією звертатися до Тетяни Миколаївни.</t>
  </si>
  <si>
    <t>7412(5), кондитер</t>
  </si>
  <si>
    <t>Робота в кондитерському цеху полягає в виготовленні кондитерських виробів за технологічними умовами; випічка кондитерських виробів. Знання  асортименту, рецептури і технології виготовлення виробів,</t>
  </si>
  <si>
    <t>8112(5), апаратник вуглезбагачення</t>
  </si>
  <si>
    <t>Веде технологічні процеси збагачення вугілля: відсаджування, флотацію, сепарацію на відсаджувальних, флотаційних машинах, сепараторах, мийних комбайнах та жолобах, концентраційних столах, збагачувальних циклонах у режимі дистанційного або ручного керування. Здійснює сепарацію вугільного гранульованого порошку в аерофонтанувальних та відцентрових сепараторах, контролює і регулює процеси за даними технічного та експрес-аналізу рядового вугілля й продуктів збагачення</t>
  </si>
  <si>
    <t>8334(2), водій навантажувача</t>
  </si>
  <si>
    <t>ЗДІЙСНЮЄ РОЗВАНТАЖУВАЛЬНО-ЗАВАНТАЖУВАЛЬНІ РОБОТИ.СЛІДКУЄ ЗА ТЕХНІЧНИМ СТАНОМ АВТОНАВАНТАЖУВАЧА.ЗА БІЛЬШ ДЕТАЛЬНОЮ ІНФОРМАЦІЄЮ ЗВЕРТАТИСЯ ДО ТЕТЯНИ МИКОЛАЇВНИ</t>
  </si>
  <si>
    <t>3471(25), дизайнер-виконавець меблів</t>
  </si>
  <si>
    <t xml:space="preserve">Робота з клієнтами - замовниками корпусних меблів щодо розробки індивідуальних видів корпусних, м’яких, офісних, кухонних, індивідуальних виробів.  Розробка дизайну меблів. Створення ескізів, 3D-візуалізацій та креслень. Підбір матеріалів, фурнітури, кольорової гами.
Підготовка технічної документації для виробництва.
Співпраця з технологами та виробничим цехом.
Узгодження проєктів із клієнтами, внесення правок.
</t>
  </si>
  <si>
    <t>Вчитель польської мови.Уміння організовувати і проводити виховну і навчальну роботу з дітьми шкільного віку з використанням сучасних форм і методик.</t>
  </si>
  <si>
    <t>7421(8), сортувальник матеріалів та виробів з деревини</t>
  </si>
  <si>
    <t>ПРИЙМАННЯ ДЕРЕВ'ЯНИХ ВИРОБІВ(ДОШКИ,БРУСКИ, ДЕТАЛІ,ГОТОВІ ЕЛЕМЕНТИ) ПІСЛЯ ОБРОБКИ АБО ЗБЕРІГАННЯ.СОРТУВАННЯ ЗА ПОРОДОЮ ДЕРЕВИНИ,РОЗМІРОМ,СОРТОМ, ЯКІСТЮ, КОЛЬОРОМ,ПРИЗНАЧЕННЯМ.ВІЗУАЛЬНИЙ ОГЛЯД ВИРОБІВ,ВИЯВЛЕННЯ ДЕФЕКТІВ.
ЗА ДОДАТКОВОЮ ІНФОРМАЦІЄЮ ЗВЕРТАТИСЯ ДО МАРІЇ МИКОЛАЇВНИ.</t>
  </si>
  <si>
    <t>СПЕЦІАЛІСТ. ЗАБЕЗПЕЧУЄ ВІДПОВІДНО ДО СВОЄЇ КОМПЕТЕНЦІЇ ВИКОНАННЯ КОНСТИТУЦІЇ ТА ЗАКОНІВ УКРАЇНИ. ВНОСИТЬ ДО ДЕРЖАВНОГО РЕЄСТРУ АКТІВ ЦИВІЛЬНОГО СТАНУ ГРОМАДЯН ВІДОМОСТІ ПРО НАРОДЖЕННЯ, ШЛЮБ, РОЗІРВАННЯ ШЛЮБУ, ЗМІНУ ІМЕНІ, СМЕРТЬ А ТАКОЖ ВНОСИТЬ ЗМІНИ ДО НЬОГО ВІДПОВІДНО ЧИННОГО ЗАКОНОДАВСТВА; СКЛАДАЄ ОПИСИ СПРАВ ПОСТІЙНОГО, ТРИВАЛОГО ТА ТИМЧАСОВОГО ЗБЕРІГАННЯ ТА АКТИ НАЦІОНАЛЬНОГО АРХІВНОГО ФОНДУ.
ЗА БІЛЬШ ДЕТАЛЬНОЮ ІНФОРМАЦІЄЮ ЗВЕРТАТИСЯ ДО ТЕТЯНИ РОМАНІВНИ.</t>
  </si>
  <si>
    <t>2229.2(30), ерготерапевт</t>
  </si>
  <si>
    <t>Відновлювати фізичне, соціальне та психічне здоров’я пацієнта, повертати його до нормального соціального, професійного та побутового життя. Розробляти індивідуальної програми реабілітації щодо ерготерапевтичного реабілітаційного втручання та безпосередньо проводити ці втручання. Проводити роботу з психопрофілактики, психокорекції, психологічного консультування людини, консультувати родичів, опікунів пацієнта у процесі вирішення особистісних, професійних і побутових, психологічних проблем, залучати їх до пл</t>
  </si>
  <si>
    <t>Робота полягає в організації роботи з дітьми. Допомога вихователю у підготовці дітей до навчального процесу, сервіровка столів для харчування. Прибирає й утримує в належному стані групу.</t>
  </si>
  <si>
    <t>Організація та контроль роботи складу, розподіл завдань між працівниками. Приймання, зберігання, видача матеріалів і готової продукції. Ведення документації та звітності.</t>
  </si>
  <si>
    <t>8119(6), машиніст технологічного обладнання збагачувальної фабрики</t>
  </si>
  <si>
    <t>Учень машиніста технологічного обладнання збагачувальної фабрики  на відділенні гравітації виконує:
- допомога в обслуговуванні обладнання(завантаження і розвантаження обладнання:насоси,грохоти,дробарки тощо) 
- очищення та технічний догляд
-контроль параметрів(перевірка мастила, натягу пасів і ін)
- поточне технічне обслуговування
-усунення несправностей(усунення підсосів, засмічень)
- робота з насосами</t>
  </si>
  <si>
    <t>ВЧИТЕЛЬ ФІЗИЧНОЇ КУЛЬТУРИ ОРГАНІЗОВУЄ ТА ПРОВОДИТЬ РОБОТУ ПО ФІЗИЧНОМУ ВИХОВАННЮ ДІТЕЙ. РОБОТА НА 0.5 СТАВКИ.
ЗА БІЛЬШ ДЕТАЛЬНОЮ ІНФОРМАЦІЄЮ ЗВЕРТАТИСЯ ДО ТЕТЯНИ РОМАНІВНИ</t>
  </si>
  <si>
    <t>1476.1, менеджер (управитель) з реклами</t>
  </si>
  <si>
    <t>SMM-cпеціаліст
Створення та ведення сторінок компанії у соціальних мережах; розробка та реалізація контент-плану; базова аналітика та підготовка звітів про результати роботи.</t>
  </si>
  <si>
    <t>робота на поверхні пов'язана із зачисткою вугілля, обов'язкове проходження медогляду,  проходження курсів УКК.</t>
  </si>
  <si>
    <t>МОНТАЖ ТА РЕМОНТ ТЕХНОЛОГІЧНИХ ТРУБОПРОВОДІВ НА ПОВЕРХНІ.РЕМОНТ СЕКЦІЙ КОЛОРИФЕРНОЇ УСТАНОВКИ,РЕМОНТ ТЕХНОЛОГІЧНОГО ОБЛАДНАННЯ ТЕХКОМПЛЕКСУ,МЕТАЛОКОНСТРУКЦІЙ,БУНКЕРІВ, КОНВЕЄРІВ,ЖИВИЛЬНИКІВ.
 ЗА БІЛЬШ ДЕТАЛЬНОЮ ІНФОРМАЦІЄЮ ЗВЕРТАТИСЬ ДО ТЕТЯНИ ІВАНІВНИ.</t>
  </si>
  <si>
    <t>9161(2), робітник з благоустрою</t>
  </si>
  <si>
    <t>СОРТУВАННЯ ТПВ ВРУЧНУ, ЗБІР ВТОРСИРОВИНИ ПО КАРТАХ ПОЛІГОНУ, СОРТУВАННЯ ПЕТ-ПЛЯШКИ.
За більш детальною інформацією звертатися до Анжели Григорівни.</t>
  </si>
  <si>
    <t>3119(3), черговий оперативний (загону, центрального командно-диспетчерського пункту, оперативно-рятувальної с</t>
  </si>
  <si>
    <t>Робота в офісі полягає у веденні реєстру телефонних дзвінків від юридичних та фізичних осіб при здачі об’єкту під охорону.Працювати за пультом спостереження за об’єктами, які охороняються.Графік роботи: доба через три</t>
  </si>
  <si>
    <t xml:space="preserve">Уміння забезпечувати контроль і відображення на рахунках бухгалтерського обліку всіх господарських операцій, надання оперативної інформації, складання і подання бухгалтерської звітності; здійснювати економічний аналіз господарської діяльності; організовувати і проводити інвентаризацію майна. </t>
  </si>
  <si>
    <t>3226(5), фахівець з фізичної реабілітації</t>
  </si>
  <si>
    <t xml:space="preserve">Здійснює реабілітаційні заходи з метою усунення, припинення або зменшення болю. Розробляє і впроваджує комплекс вправ і рекомендації, спрямованих на поліпшення діяльності опорно-м'язової системи та організму в цілому. Проводить обстеження, виявляє порушення і складає індивідуальну програму реабілітації. Веде відповідні записи й документацію. </t>
  </si>
  <si>
    <t>УЧЕНЬ ЕЛЕКТРОСЛЮСАРЯ ПІДЗЕМНОГО, РОБОТА В ПІДЗЕМНИХ УМОВАХ, ПОВ'ЯЗАНА З РЕМОНТОМ І ОБСЛУГОВУВАННЯМ ЕЛЕКТРОУСТАТКУВАННЯ.
ЗА БІЛЬШ ДЕТАЛЬНОЮ ІНФОРМАЦІЄЮ ЗВЕРТАТИСЯ ДО ТЕТЯНИ МИКОЛАЇВНИ.</t>
  </si>
  <si>
    <t>Міжнародні перевезення,робота на сучасному тягачі "DAF"євро. За більш детальною інформацією звертатись до Тетяни Миколаївни.</t>
  </si>
  <si>
    <t>Здійснює процес випікання хлібобулочних та борошняно-кондитерських виробів. Дотримання санітарних норм. За більш детальною інформацією звертатися до Тетяни Миколаївни</t>
  </si>
  <si>
    <t>ВМІННЯ ПРАЦЮВАТИ ЗІ СКЛАДНИМИ ВИРОБАМИ З ТКАНИНИ ТА ШКІРИ, РОБОТА З ПАРАЛОНОМ. НАВИКИ РОБОТИ З РУЧНИМ ЕЛЕКТРОІНСТРУМЕНТОМ, ВМІННЯ ЧИТАТИ КРЕСЛЕННЯ.
ЗА БІЛЬШ ДЕТАЛЬНОЮ ІНФОРМАЦІЄЮ ЗВЕРТАТИСЯ ДО ТЕТЯНИ РОМАНІВНИ.</t>
  </si>
  <si>
    <t>РЕМОНТУЄ, РЕГУЛЮЄ ТА ВИПРОБОВУЄ, МОНТУЄ СКЛАДНІ ЕЛЕКТРОМАГНІТНІ, ОПТИКО-МЕХАНІЧНІ, АВТОМАТИЧНІ ПРИЛАДИ З ПІДГОТОВЛЕННЯ ТА ДОВЕДЕННЯМ ВІДПОВІДНИХ ДЕТАЛЕЙ ТА ВУЗЛІВ.ЗА БІЛЬШ ДЕТАЛЬНОЮ ІНФОРМАЦІЄЮ ЗВЕРТАТИСЯ ДО ТЕТЯНИ МИКОЛАЇВНИ</t>
  </si>
  <si>
    <t>Здійснює дрібний ремонт одягу. За більш детальною інформацією звертатися до Анжели Григорівни.</t>
  </si>
  <si>
    <t>ПСИХОЛОГІЧНИЙ СУПРОВІД ДІТЕЙ,ЗАБЕЗПЕЧЕННЯ ПСИХОЛОГІЧНОГО ЗДОРОВ'Я,ПРОВЕДЕННЯ ДІАГНОСТИКИ,КОНСУЛЬТАЦІЙ ТА КОРЕЙКЦІЙНОЇ РОБОТИ, А ТАКОЖ СТВОРЕННЯ ПСИХОЛГІЧНОГО КЛІМАТУ В ЗАКЛАДІ.ЗА БІЛЬШ ДЕТАЛЬНОЮ ІНФОРМАЦІЄЮ ЗВЕРТАТИСЬ ДО ТЕТЯНИ ІВАНІВНИ.</t>
  </si>
  <si>
    <t>ОРГАНІЗАЦІЯ ЗБУТУ БУДІВЕЛЬНИХ МАТЕРІАЛІВ.
За додатковою інформацією звертатися до Марії Миколаївни.</t>
  </si>
  <si>
    <t>Обслуговує та контролює роботу насосних агрегатів,здійснює іх пуск,регулювання та зупинку,контролює тиск в мережі,а також усуває дрібні несправності обладнання.Для роботи необхідно знати основи електромеханіки,гідравліки та механіки,конструкцію насосів,правила експлуатації обладнання та медоти усунення несправвностей.За більш детальною інформацією звертатись до Тетни Іванівни.</t>
  </si>
  <si>
    <t>ДОПОМОГА У ВИБОРІ ПРОДОВОЛЬЧИХ ТОВАРІВ,ЗВАЖУВАННЯ, ПАКУВАННЯ.ОФОРМЛЕННЯ ПОКУПКИ НА КАСІ.ПРИЙОМ ПРОДОВОЛЬЧИХ ТОВАРІВ ВІД ПОСТАЧАЛЬНИКІВ, ПЕРЕВІРКА ЯКОСТІ,КІЛЬКОСТІ, СТРОКІВ ПРИДАТНОСТІ.ВИКЛАДКА ТОВАРІВ НА ПРИЛАВКИ, У ХОЛОДИЛЬНІ ВІТРИНИ. ОФОРМЛЕННЯ ЦІННИКІВ.
ЗА ДОДАТКОВОЮ ІНФОРМАЦІЄЮ ЗВЕРТАТИСЯ ДО МАРІЇ МИКОЛАЇВНИ.</t>
  </si>
  <si>
    <t>ПРИЙМАЄ БІЛЯ СТОВБУРА, ШУФРА АБО СВЕРДЛОВИНИ КРІПИЛЬНІ, ВИБУХОВІ, БУДІВЕЛЬНІ, МАСТИЛЬНІ МАТЕРІАЛИ, ЗАПАСНІ ЧАСТИНИ ТА ОБЛАДНАННЯ, ПРОВОДИТЬ НАВАНТАЖЕННЯ І РОЗВАНТАЖЕННЯ ЇХ ВРУЧНУ АБО ЗА ДОПОМОГОЮ ТАКЕЛАЖНИХ МЕХАНІЗМІВ І ПИСТРОЇВ У ВАГОНЕТКИ, НА ПЛОЩАДКИ, В КЛІТЬ.
ЗА БІЛЬШ ДЕТАЛЬНОЮ ІНФОРМАЦІЄЮ ЗВЕРТАТИСЯ ДО ТЕТЯНИ РОМАНІВНИ.</t>
  </si>
  <si>
    <t>ГОТУЄ ПЕРШІ ТА ДРУГІ СТРАВИ,СОУСИ,ПІДЛИВИ,ГАРНІРИ,НАПОЇ І ВИПІЧКУ.СТЕЖИТЬ ЗА ВІДПОВІДНІСТЮ СТРАВ НА ВИХОДІ НОРМАМ, ЗАКЛАДЕНИМ У ТЕХНОЛОГІЧНИХ КАРТАХ.
ЗА БІЛЬШ ДЕТАЛЬНОЮ ІНФОРМАЦІЄЮ ЗВЕРТАТИСЯ ДО МАРІЇ МИКОЛАЇВНИ.</t>
  </si>
  <si>
    <t>ЗДІЙСНЕННЯ ПІДСОБНИХ РОБІТ ПРИ ВСТАНОВЛЕННІ ГРАНІТНИХ ПАМ'ЯТНИКІВ. 
За більш детальною інформацією звертатися до Тетяни Іванівни.</t>
  </si>
  <si>
    <t>РЕМОНТ ТА ТЕХНІЧНЕ ОБСЛУГОВУВАННЯ ТРАКТОРА, ДОТРИМАННЯ ПРАВИЛ ТЕХНІКИ БЕЗПЕКИ ТА ОХОРОНИ ПРАЦІ, НАЯВНІСТЬ ПОСВІДЧЕННЯ З ПРОФЕСІЇ. ЗНАННЯ ТЕХНІКИ БЕЗПЕКИ ТА ОХОРОНИ ПРАЦІ.ЗА БІЛЬШ ДЕТАЛЬНОЮ ІНФОРМАЦІЄЮ ЗВЕРТАТИСЯ ДО АНЖЕЛИ ГРИГОРІВНИ.</t>
  </si>
  <si>
    <t xml:space="preserve">Виконує роботи з виготовлення заготовок до корпусних меблів та  меблевих фасадів. Виконує розкрій заготовок із  плит   МДФ, ДСП на верстатах з комп"ютерним програмуванням. Виконує сверління отворів за кресленнями заготовок. Виконує фугування крайок, Сортує заготовки за розмірами. Виготовляє допоміжні деталі до заготовок,  відбраковує деталі з дефектами обробки, виконує налагодження та бере участь у ремонті устаткування. </t>
  </si>
  <si>
    <t>СЛЮСАР-САНТЕХНІК ВИКОНУЄ МОНТАЖ, РЕМОНТ ТА ОБСЛУГОВУВАННЯ СИСТЕМ ВОДОПОСТАЧАННЯ, ОПАЛЕННЯ ТА КАНАЛІЗАЦІЇ, УСУВАЄ НЕСПРАВНОСТІ ТАКІ ЯК ПРОТІКАННЯ ТА ЗАСМІЧЕННЯ, А ТАКОЖ ВСТАНОВЛЮЄ ТА ПІДКЛЮЧАЄ САНТЕХНІЧНЕ ОБЛАДНАННЯ, ДОТРИМУЮЧИСЬ ПРАВИЛ ТЕХНІКИ БЕЗПЕКИ.
ЗА БІЛЬШ ДЕТАЛЬНОЮ ІНФОРМАЦІЄЮ ЗВЕРТАТИСЯ ДО ТЕТЯНИ РОМАНІВНИ</t>
  </si>
  <si>
    <t xml:space="preserve">Виконує монтаж, демонтаж, ремонт, випробовування й технічне обслуговування механічної та електричної частини простих машин. </t>
  </si>
  <si>
    <t xml:space="preserve">Продаж ліфтів, пошук та залучення нових замовників. Активне просування товарів компанії на ринку, розвиток та підтримка відносин з клієнтами, пошук нових можливостей для збільшення обсягів продажів. Комунікація з підрядниками, оформлення логістики товарів до замовника. </t>
  </si>
  <si>
    <t>Підготовка товарів до продажу, фасування та правильне розміщення товарів. Створення комфортних умов для вибору товару. Вміння виконувати обов'язки касира і вміти оформити покупку на касі. За більш детальною інформацією звертатися до Анжели Григорівни.</t>
  </si>
  <si>
    <t>ОБСЛУГОВУВАННЯ, РЕМОНТ ПРОМИСЛОВОГО ЕЛЕКТРОУСТАТКУВАННЯ, СИЛОВИХ ПРИСТРОЇВ І ЕЛЕКТРОМЕРЕЖІ.ЗА БІЛЬШ ДЕТАЛЬНОЮ ІНФОРМАЦІЄЮ ЗВЕРТАТИСЯ ДО ТЕТЯНИ МИКОЛАЇВНИ</t>
  </si>
  <si>
    <t>ОБСЛУГОВУВАННЯ ТА РЕМОНТ САНТЕХНІЧНОГО ОБЛАДНАННЯ.
ЗА БІЛЬШ ДЕТАЛЬНОЮ ІНФОРМАЦІЄЮ ЗВЕРТАТИСЯ ДО ТЕТЯНИ РОМАНІВНИ.</t>
  </si>
  <si>
    <t>3570(1), шеф-кухар</t>
  </si>
  <si>
    <t>УМІННЯ ПЛАНУВАТИ, РОЗРОБЛЯТИ РЕЦЕПТУРИ СТРАВ, СКЛАДАТИ ЗАЯВКИ НА НЕОБХІДНІ ПРОДОВОЛЬЧІ ТОВАРИ, СИРОВИНУ,ЗАБЕЗПЕЧУВАТИ СВОЄЧАСНЕ ЇХ ОТРИМАННЯ ЗІ СКЛАДУ, КОНТРОЛЮВАТИ ЇХ ТЕРМІНИ, АСОРТИМЕНТ, ЯКІСТЬ І КІЛЬКІСТЬ  НАДХОДЖЕННЯ І РЕАЛІЗАЦІЇ. ЗДІЙСНЮВАТИ ПОСТІЙНИЙ КОНТРОЛЬ ЗА ТЕХНОЛОГІЄЮ ПРИГОТУВАННЯ ЇЖІ.
За більш детальною інформацією звертатися до Марії Миколаївни.</t>
  </si>
  <si>
    <t>2221.2(29), лікар-психіатр</t>
  </si>
  <si>
    <t xml:space="preserve">Застосовує сучасні методи профілактики, діагностики, лікування, реабілітації та диспансеризації хворих людей психіатричного профілю, надає їм швидку та невідкладну медичну допомогу. Здійснює нагляд за побічними реакціями лікарських засобів. </t>
  </si>
  <si>
    <t>ВОДІЙ-МІЖНАРОДНИК НА АВТОМОБІЛЬ MERCEDES BENZ ACTROS 2544, 2005 р.в.
ЗА БІЛЬШ ДЕТАЛЬНОЮ ІНФОРМАЦІЄЮ ЗВЕРТАТИСЯ ДО ТЕТЯНИ РОМАНІВНИ.</t>
  </si>
  <si>
    <t>ВІДПОВІДАЄ ЗА ВИКОНАННЯ ГІРНИЧИХ РОБІТ З ВИДОБУТКУ ВУГІЛЛЯ, КОНТРОЛЮЄ ДОТРИМАННЯ ТЕХНОЛОГІЧНИХ СХЕМ. ОРГАНІЗОВУЄ ТА ЗДІЙСНЮЄ КОНТРОЛЬ ЗА РОБОТОЮ ДІЛЬНИЦІ.ЗА БІЛЬШ ДЕТАЛЬНОЮ ІНФОРМАЦІЄЮ ЗВЕРТАТИСЯ ДО ТЕТЯНИ МИКОЛАЇВНИ</t>
  </si>
  <si>
    <t>5142, покоївка</t>
  </si>
  <si>
    <t>Робота полягає у прибиранні спального корпусу. Уміння прибирати та утримувати в чистоті номери, санвузлів та інші закріплені за нею приміщення; замінювати білизну, рушники і туалетні речі після кожного виїзду мешканця. Дотримання правил та норм санітарії.</t>
  </si>
  <si>
    <t>РОБОТА ПРОДАВЦЯ ПРОДОВОЛЬЧИХ ТОВАРІВ У ВІДДІЛІ КУЛІНАРІЇ. ВИКЛАДКА ГОТОВОЇ ПРОДУКЦІЇ НА ВІТРИНИ.ЗВАЖУВАННЯ ГОТОВИХ СТРАВ(САЛАТИ, КУРИ ІНШЕ). ЗВАЖУВАННЯ І ПАКУВАННЯ ГОТОВИХ СТРАВ.РОЗМІЩЕННЯ ЦІННИКІВ НА ПРОДУКЦІЇ.
За більш детальною інформацією звертатися до Марії Миколаївни.</t>
  </si>
  <si>
    <t>2321, викладач закладу професійної (професійно-технічної) освіти</t>
  </si>
  <si>
    <t>Робота викладача спецдисципліни полягає у ведені практичних занять з курсу "перукар",  здійснює навчання здобувачів освіти з урахуванням специфіки навчальної дисципліни. Проводить навчальні заняття в закріпленому за ним кабінеті згідно з розподілом навчального навантаження. Веде в установленому порядку навчальну документацію</t>
  </si>
  <si>
    <t>1223.2(10), виконавець робіт</t>
  </si>
  <si>
    <t>ВИКОНАВЕЦЬ РОБІТ НА БУДІВНИЦТВІ, РЕМОНТІ ДОРІГ. БЕЗПОСЕРЕДНЄ КЕРІВНИЦТВО. ЗАБЕЗПЕЧУЄ ВИКОНАННЯ ВИРОБНИЧИХ ЗАВДАНЬ, ВМІННЯ ОРГАНІЗОВУВАТИ РОБОТУ ПРАЦІВНИКІВ, НЕСЕ ВІДПОВІДАЛЬНІСТЬ ЗА ТЕХНІКУ БЕЗПЕКИ ТА УМОВИ ПРАЦІ РОБІТНИКІВ.
ЗА БІЛЬШ ДЕТАЛЬНОЮ ІНФОРМАЦІЄЮ ЗВЕРТАТИСЯ ДО ТЕТЯНИ РОМАНІВНИ.</t>
  </si>
  <si>
    <t>Проведення поточного ремонту ходової, проведення профілактичних оглядів, допуск машин до виїзду на маршрут, проведення діагностики і регулювання систем та агрегатів автомобілів, які забезпечують безпеку руху, виявлення та усування несправностей у процесі ремонту, складання та випробовування агрегатів.</t>
  </si>
  <si>
    <t>3113(36), технік-електрик</t>
  </si>
  <si>
    <t>ЗАБЕЗПЕЧУЄ ПІДТРИМКУ СПРАВНОГО СТАНУ БЕЗАВАРІЙНУ І НАДІЙНУ РОБОТУ ПРИСТРОЇВ ТА ЕЛЕКТРОУСТАТКУВАННЯ, ЗДІЙСНЮЄ МОНТАЖ НОВИХ ЕЛЕКТРИЧНИХ МЕРЕЖ, ПРОВОДИТЬ ППР ЕЛЕКТРИЧНОЇ ЧАСТИНИ УСТАТКУВАННЯ, ВИЯВЛЯЄ ПРИЧИНИ ЗНОСУ, ВЖИВАЄ ЗАХОДИ ЩОДО ЇХ ПОПЕРЕДЖЕННЯ ТА УСУНЕННЯ. ЗАБЕЗПЕЧУЄ ПРАВИЛЬНУ ЕКСПЛУАТАЦІЮ, СВОЄЧАСНИЙ РЕМОНТ ВІДПОВІДНО ДО ІНСТРУКЦІЇ З ТЕХ. ОБСЛУГОВУВАННЯ. За більш детальною інформацією звертатись до Тетяни Іваніви.</t>
  </si>
  <si>
    <t>Робота на автомобілі ВАЗ 099 полягає у своєчасн ій  доставці  робітників в т.ч. аварійних бригад до місця призначення .Забезпечувати коректне плавне професійне водіння автомобіля, що максимально забезпечує схоронність життя і здоров’я пасажирів, схоронність товарно-матеріальних цінностей, що транспортуються і технічно справний стан самого автомобіля.</t>
  </si>
  <si>
    <t>Пакування пружинних матраців у поліпропіленову плівку, наклеювання етикеток; підготовка продукції до відвантаження.</t>
  </si>
  <si>
    <t>Проводити процеси первинної кулінарної обробки сировини. Здійснювати допоміжні роботи з виготовлення страв та кулінарних виробів. Формувати та панірувати напівфабрикати. Готувати страви та кулінарні вироби, які потребують нескладної кулінарної обробки: варить, смажить, запікає та випікає вироби.</t>
  </si>
  <si>
    <t>ЯКІСНЕ ПРИГОТУВАННЯ РІЗНИХ ВИДІВ СУШІ ЗГІДНО З СПЕЦИФІКАЦІЄЮ МЕНЮ, ВИКОРИСТАННЯ СВІЖИХ ІНГРІДІЄНТІВ З ВЕЛИКОЮ УВАГОЮ ДО ДЕТАЛЕЙ, ЕФЕКТИВНЕ УПРАВЛІННЯ ЗАПАСАМИ І ЗАМОВЛЕННЯ ІНГРІДІЄТІВ,ЗАБЕЗПЕЧЕННЯ ЧИСТОТИ ТА САНІТАРНИХ НОРМ НА КУХНІ.
ЗА БІЛЬШ ДЕТАЛЬНОЮ ІНФОРМАЦІЄЮ ЗВЕРТАТИСЯ ДО ТЕТЯНИ МИКОЛАЇВНИ</t>
  </si>
  <si>
    <t>СЛЮСАР-РЕМОНТНИК РЕМОНТУЄ, МОНТУЄ, ДЕМОНТУЄ, ВИПРОБОВУЄ, РЕГУЛЮЄ, НАЛАГОДЖУЄ У НАВЧАЛЬНОМУ ЗАКЛАДІ БУДЬ-ЯКІ ПОЛОМКИ, ВИКОНУЄ СЛЮСАРНЕ ОБРОБЛЕННЯ ДЕТАЛЕЙ І ВУЗЛІВ.  За більш детальною інформацією звертатися до Тетяни Миколаївни</t>
  </si>
  <si>
    <t>ПРОДАЖ ПРОДОВОЛЬЧИХ ТОВАРІВ, РОБОТА З КАСОВИМ АПАРАТОМ, ТЕРМІНАЛОМ.
За більш детальною інформацією звертатися до Марії Миколаївни.</t>
  </si>
  <si>
    <t>2455.2(26), керівник музичний</t>
  </si>
  <si>
    <t>ПРОВОДИТИ МУЗИЧНІ ЗАНЯТТЯ ДІТЕЙ ДОШКІЛЬНОГО ВІКУ,ПРОВОДИТИ СВЯТА Й РОЗВАГИ,ВЕСТИ ІНДИВІДУАЛЬНУ РОБОТУ З ДІТЬМИ.ЗА БІЛЬШ ДЕТАЛЬНОЮ ІНФОРМАЦІЄЮ ЗВЕРТАТИСЬ ДО АНЖЕЛИ ГРИГОРІВНИ.</t>
  </si>
  <si>
    <t>ОБСЛУГОВУВАННЯ ЕЛЕКТРОУСТАТКУВАННЯ, ЗАБЕЗПЕЧЕННЯ ВСТАНОВЛЕНОГО РЕЖИМУ НАПРУГИ, ЛІКВІДАЦІЯ ПОШКОДЖЕНЬ У РАЗІ ЇХ ВИЯВЛЕННЯ.ЗДІЙСНЮЄ РЕЖИМНІ ТА АВАРІЙНІ ПЕРЕМИКАННЯ НАПРУГИ.
За більш детальною інформацією звертатися до Тетяни Миколаївни</t>
  </si>
  <si>
    <t>КЕРУВАННЯ АВТОТРАНСПОРТНИМ ЗАСОБОМ КАМАЗом.ЗНАННЯ БУДОВИ, ОБСЛУГОВУВАННЯ АВТОТРАНСПОРТНОГО ЗАСОБУ.ЗА БІЛЬШ ДЕТАЛЬНОЮ ІНФОРМАЦІЄЮ ЗВЕРТАТИСЯ ДО ТЕТЯНИ МИКОЛАЇВНИ</t>
  </si>
  <si>
    <t>КОНСУЛЬТУВАННЯ ПЕДАГОГІЧНИХ ПРАЦІВНИКІВ, ЯКІ ПРАЦЮЮТЬ У ПОЧАТКОВИХ КЛАСАХ ЗЗСО З ПИТАНЬ ПРОФЕСІЙНОГО РОЗВИТКУ, ПРОВЕДЕННЯ СУПЕРВІЗІЇ.
ЗА БІЛЬШ ДЕТАЛЬНОЮ ІНФОРМАЦІЄЮ ЗВЕРТАТИСЯ ДО ТЕТЯНИ РОМАНІВНИ.</t>
  </si>
  <si>
    <t>7411(32), рубач м'яса на ринку</t>
  </si>
  <si>
    <t>РОЗДІЛЯЄ ТУШІ ЗГІДНО З ДІЮЧИМИ СХЕМАМИ РОЗРУБУ. ДОПОМАГАЄ ВИКЛАДАТИ М'ЯСО НА ПРИЛАВКУ. УТРИМУЄ РОЗРУБНУ КОЛОДУ ТА ІНСТРУМЕНТ ВІДПОВІДНО ДО ВИМОГ ВЕТЕРИНАРНО- САНІТАРНИХ ПРАВИЛ, ЗДІЙСНЮЄ ПОТОЧНЕ ПРИБИРАННЯ СВОГО РОБОЧОГО МІСЦЯ.</t>
  </si>
  <si>
    <t>Планувати іпроводити індивідуальні заняття.Складаати сценарії свят,програм розваг,підбирати музичний матеріал,відповідати за їх підготовку та проведення.За більш детальною інформацією звертатись до Тетяни Іванівни.</t>
  </si>
  <si>
    <t>РОБОТА НА ЧАС МОБІЛІЗАЦІЇ ОСНОВНОГО ПРАЦІВНИКА.ЗАБЕЗПЕЧУЄ БЕЗПЕРЕБІЙНУ РОБОТУ ОБЛАДНАННЯ І ПІДТРИМКУ ЙОГО В СПРАВНОМУ РОБОЧОМУ СТАНІ ШЛЯХОМ ВИКОНАННЯ РЕМОНТУ, МОНТАЖУ, ДЕМОНТАЖУ ТА ОБСЛУГОВУВАННЯ МЕХАНІЧНОЇ ЧАСТИНИ ОБЛАДНАННЯ ДІЛЬНИЦІ ТЕХНОЛОГІЧНОГО КОМПЛЕКСУ.
ЗА БІЛЬШ ДЕТАЛЬНОЮ ІНФОРМАЦІЄЮ ЗВЕРТАТИСЯ ДО МАРІЇ МИКОЛАЇВНИ.</t>
  </si>
  <si>
    <t xml:space="preserve">Уміння забезпечувати контроль і відображення на рахунках бухгалтерського обліку всіх господарських операцій, надання оперативної інформації, складання і подання бухгалтерської звітності; здійснювати економічний аналіз господарської діяльності; організовувати і проводити інвентаризацію майна; визначити форми і методи бухгалтерського обліку та технологію обробки облікової інформації. </t>
  </si>
  <si>
    <t>ОБСЛУГОВУВАННЯ ВІДВІДУВАЧІВ,ДОПОМОГА  ВІДВІДУВАЧЕВІ З ВИБОРОМ СТРАВИ ТА ПРИЙНЯТТЯ ЗАМОВЛЕНЬ,ДОТРИМАННЯ ПРАВИЛ ЕТИКЕТУ,ПОДАЧА ЗАМОВЛЕННЯ ТА ПРИБИРАННЯ СТОЛА .ЗА БІЛЬШ ДЕТАЛЬНОЮ ІНФОРМАЦІЄЮ ЗВЕРТАТИСЬ ДО ТЕТЯНИ ІВАНІВНИ.</t>
  </si>
  <si>
    <t>3119(48), технолог</t>
  </si>
  <si>
    <t>ОРГАНІЗОВУЄ ТА КОНТРОЛЮЄ ТЕХНОЛОГІЧНІ ПРОЦЕСИ ПОШИТТЯ ВИРОБІВ.РОЗРОБЛЯЄ ТА ОФОРМЛЯЄ ТЕХНОЛОГІЧНУ ДОКУМЕНТАЦІЯ.ВИЗНАЧАЄ ОПТИМАЛЬНУ ПОСЛІДОВНІСТЬ ОПЕРАЦІЙ ТА СПОСОБИ ОБРОБКИ ДЕТАЛЕЙ.ПІДБИРАЄ ОБЛАДНАННЯ ТА ІНСТРУМЕНТИ ВІДПОВІДНО ДО СПЕЦИФІКИ ВИРОБІВ.ЗА БІЛЬШ ДЕТАЛЬНОЮ ІНФОРМАЦІЄЮ ЗВЕРТАТИСЯ ДО ТЕТЯНИ МИКОЛАЇВНИ</t>
  </si>
  <si>
    <t>ВЧИТЕЛЬ ФІЗИКИ ЗДІЙСНЮЄ НАВЧАННЯ ТА ВИХОВАННЯ УЧНІВ, ПРОВОДИТЬ УРОКИ, ЗАБЕЗПЕЧУЄ ДИСЦИПЛІНУ ТА ПОРЯДОК, РЕАЛІЗУЄ ОСВІТНІ ПРОГРАМИ, ЗАБЕЗПЕЧУЄ РІВЕНЬ ПІДГОТОВКИ УЧНІВ ВІДПОВІДНО ДО ДЕРЖАВНИХ СТАНДАРТІВ. РОБОТА НА 0.5 СТАВКИ.
ЗА БІЛЬШ ДЕТАЛЬНОЮ ІНФОРМАЦІЄЮ ЗВЕРТАТИСЯ ДО ТЕТЯНИ РОМАНІВНИ.</t>
  </si>
  <si>
    <t xml:space="preserve">0,5 СТАВКИ. ОРГАНІЗОВУЄ ТА МЕТОДИЧНО КЕРУЄ ОСВІТНІМ ПРОЦЕСОМ В ШКОЛІ, ЗАБЕЗПЕЧУЄ ДОТРИМАННЯ НОРМ І ПРАВИЛ ОХОРОНИ ПРАЦІ, БЕЗПЕКИ ЖИТТЄДІЯЛЬНОСТІ ПІД ЧАС УРОКІВ,ПОЗАУРОЧНИХ ТА ПОЗАШКІЛЬНИХ ЗАХОДІВ. За більш детальною інформацією звертатися до Анжели Григорівни. </t>
  </si>
  <si>
    <t xml:space="preserve">Робота полягає в обстеженні підопічних з метою визначення функціонального стану та рівня фізичного розвитку, навчання самостійності в побуті, самообслуговуванні, контролі за виконанням індивідуальних програм підопічних, здійсненні реабілітаційних заходів з метою відновлення функцій організму. Фізична реабілітація підопічних відповідно до висновків лікаря та експертно-медичних комісій. </t>
  </si>
  <si>
    <t>3422(7), експедитор</t>
  </si>
  <si>
    <t>Організація доставки продовольчих товарів - супровід продовольчих товарів від складу до місця призначення. Контроль правильності навантаження та розвантаження продукції. За більш детальною інформацією звертатися до Анжели Григорівни.</t>
  </si>
  <si>
    <t>ДОПОМА КУХАРЮ У ПРИГОТУВАННІ СТРАВ: ЧИСТКА,МИТТЯ, НАРІЗКА ОВОЧІВ, ФРУКТІВ,ЗЕЛЕНІ.ТОЩО).ДОПОМОГА КУХАРЮ ПІД ЧАС ПРИГОТУВАННЯ СТРАВ(ПОДАВАННЯ ІНГРЕДІЄНТІВ, ПЕРЕМІШУВАННЯ, КОНТРОЛЬ ЗА ВАРІННЯМ ТОЩО).МИТТЯ ПОСУДУ,ІНВЕНТАРЮ, КУХОННОГО ОБЛАДНАННЯ.ПРИБИРАННЯ РОБОЧИХ ПОВЕРХОНЬ,ПІДЛОГИ,ХОЛОДИЛЬНИКІВ.</t>
  </si>
  <si>
    <t>СЕРВІРУВАННЯ СТОЛІВ, ЗУСТРІЧ ВІДВІДУВАЧІВ, ОЗНАЙОМЛЕННЯ ЇХ З МЕНЮ, ОДЕРЖАННЯ ЗАМОВЛЕННЯ.ОБСЛУГОВУВАННЯ ТА РОЗРАХУНОК  ВІДВІДУВАЧІВ.ЗА БІЛЬШ ДЕТАЛЬНОЮ ІНФОРМАЦІЄЮ ЗВЕРТАТИСЯ ДО ТЕТЯНИ МИКОЛАЇВНИ</t>
  </si>
  <si>
    <t>Робота викладача спецдисципліни полягає у ведені практичних занять з курсу  "візажист" здійснює навчання здобувачів освіти з урахуванням специфіки навчальної дисципліни. Проводить навчальні заняття в закріпленому за ним кабінеті згідно з розподілом навчального навантаження. Веде в установленому порядку навчальну документацію</t>
  </si>
  <si>
    <t>В'ЯЗАННЯ ТРИКОТАЖНИХ ВИРОБІВ НА В'ЯЗАЛЬНИХ МАШИНКАХ, ПЕРЕВІРКА ВИРОБІВ НА ВІДПОВІДНІСТЬ РОЗМІРІВ, КОНТРОЛЬ ЗА ЯКІСТЮ В'ЯЗАННЯ.
ЗА БІЛЬШ ДЕТАЛЬНОЮ ІНФОРМАЦІЄЮ ЗВЕРТАТИСЯ ДО ТЕТЯНИ РОМАНІВНИ.</t>
  </si>
  <si>
    <t>Приготування кави та холодних напоїв. Робота з касою. За більш детальною інформацією звертатися до Тетяни Романівни.</t>
  </si>
  <si>
    <t>ВСТАНОВЛЕННЯ І ОЧИСТКА ДОРОЖНІХ ЗНАКІВ, ПЕРЕКИДАННЯ ПІСКУ, ГРАВІЮ, ЩЕБНЮ НА ДОРОГАХ. ЗА БІЛЬШ ДЕТАЛЬНОЮ ІНФОРМАЦІЄЮ ЗВЕРТАТИСЯ ДО АНЖЕЛИ ГРИГОРІВНИ.</t>
  </si>
  <si>
    <t>ПОШИТТЯ ДОМАШНЬОГО ОДЯГУ ІЗ ШОВКУ ТА МІКРОМАСЛІ НА ШВЕЙНІЙ ПРОМИСЛОВІЙ МАШИНІ ТИПУ JUKI DDL-8700, TYPICAL GC6-7-D ТА ІНШІ.ЗА БІЛЬШ ДЕТАЛЬНОЮ ІНФОРМАЦІЄЮ ЗВЕРТАТИСЯ ДО ТЕТЯНИ МИКОЛАЇВНИ</t>
  </si>
  <si>
    <t>ПРИЙМАННЯ ФРУКТІВ ВІД ПОСТАЧАЛЬНИКІВ.СОРТУВАННЯ ТА РОЗКЛАДКА ФРУКТІВ.ДОГЛЯД ЗА ТОВАРОМ(ПІДРІЗАННЯ, ОЧИЩЕННЯ, ПРИБИРАННЯ ЗІПСОВАНИХ ПЛОДІВ).КОНСУЛЬТУВАННЯ ПОКУПЦІВ ЩОДО СМАКУ,СТИГЛОСТІ ,ПОХОДЖЕННЯ ФРУКТІВ.ЗВАЖУВАННЯ ТОВАРУ ТА РОЗРАХУНОК ВАРТОСТІ.РОЗРАХУНКИ З ПОКУПЦЯМИ.
ЗА ДОДАТКОВОЮ ІНФОРМАЦІЄЮ ЗВЕРТАТИСЯ ДО МАРІЇ МИКОЛАЇВНИ.</t>
  </si>
  <si>
    <t>Ведення обліку фінансово-господарської діяльності компанії, складання та подання звітності відповідно до чинного законодавства, контроль за виконанням фінансових операцій, участь у складанні бюджету та плануванні фінансових ресурсів.</t>
  </si>
  <si>
    <t>РОБОТА ПРОДАВЦЯ ПРОДОВОЛЬЧИХ ТОВАРІВ У ВІДДІЛІ РИБИ. ВИКЛАДКА РИБИ І МОРЕПРОДУКТІВ НА ВІТРИНИ.ЗВАЖУВАННЯ І ПАКУВАННЯ РИБИ І МОРЕПРОДУКТІВ.РОЗМІЩЕННЯ ЦІННИКІВ НА ТОВАР.
За більш детальною інформацією звертатися до Марії Миколаївни.</t>
  </si>
  <si>
    <t>ЗАБЕЗПЕЧУЄ ЧИСТОТУ ТА НАЛЕЖНИЙ САНІТАРНИЙ СТАН У ПРИМІЩЕНІ ДЕПО.ЗА БІЛЬШ ДЕТАЛЬНОЮ ІНФОРМАЦІЄЮ ЗВЕРТАТИСЯ ДО ТЕТЯНИ МИКОЛАЇВНИ</t>
  </si>
  <si>
    <t>ПОВИННА ВМІТИ ШИТИ НА ПРОМИСЛОВОМУ ОВЕРК"ДЖУС"ОДИНАКОВІЙ МАШИНІ.ЗА БІЛЬШ ДЕТАЛЬНОЮ ІНФОРМАЦІЄЮ ЗВЕРТАТИСЬ ДО ТЕТЯНИ ІВАНІВНИ.</t>
  </si>
  <si>
    <t>Робота поялгає в приготуванні перших та других страв ,  дотриманні калькуляційних карток.  Повинен знати технологію виготовлення, вимоги до якості, терміни та умови зберігання страв, санітарні правила</t>
  </si>
  <si>
    <t>2221.2(51), лікар-кардіолог</t>
  </si>
  <si>
    <t>Надавати спеціалізовану медичну допомогу хворим кардіологічного профілю, в тому числі швидку і невідкладну. Застосовувати сучасні методи профілактики, діагностики, лікування, реабілітації та диспансеризації. Здійснювати нагляд за побічними реакціями, діями лікарських засобів.</t>
  </si>
  <si>
    <t>Прибирання території, пакування, вантаження сміття, прибирання газонів.За більш детальною інформацією звертатися до Тетяни Миколаївни</t>
  </si>
  <si>
    <t xml:space="preserve">ВИКОНУЄ СІЛЬСЬКОГОСПОДАРСЬКІ РОБОТИ НА ПОЛІ (ОРАННЯ, ДИСКУВАННЯ, КУЛЬТИВУВАННЯ) НА КОЛІСНИХ ТРАКТОРАХ МТЗ-892, МТЗ-1221, CASE 110. НАЯВНІСТЬ ПРАВ ВОДІЯ КАТЕГОРІЇ А,В.
За більш детальною інформацією звертатися до Марії Миколаївни.
</t>
  </si>
  <si>
    <t>7129(4), землекоп</t>
  </si>
  <si>
    <t>КОПАННЯ ЯМ ВРУЧНУ, ОПУСКАННЯ ТРУНИ З ТІЛОМ ПОМЕРЛИХ В МОГИЛУ. УТРИМАННЯ КЛАДОВИЩА В НАЛЕЖНОМУ СТАНІ. ЗА БІЛЬШ ДЕТАЛЬНОЮ ІНФОРМАЦІЄЮ ЗВЕРТАТИСЯ ДО АНЖЕЛИ ГРИГОРІВНИ.</t>
  </si>
  <si>
    <t>Оперативне обслуговування відвідувачів, розносить обіди , прибирає зі столів, заново сервірує їх, несе матеріальну відповідальність за збереження посуду,  дотримуватись певних правил етикету. Утримувати приміщення залу в належному санітарному стані, своєчасно обслуговувати відвідувачів. Графік роботи з 8-30 год. до 20-30 год. (день через день)</t>
  </si>
  <si>
    <t>6121(21), оператор свинарських комплексів і механізованих ферм</t>
  </si>
  <si>
    <t xml:space="preserve">Виконання догляду за тваринами: годування, напування, чистка тварин, допомога при лікуванні та ветобробці тварин, зважування тварин. </t>
  </si>
  <si>
    <t>ВИКОНУЄ ОБОВ'ЯЗКИ БУХГАЛТЕРА З ОБЛІКУ МАТЕРІАЛЬНИХ ЦІННОСТЕЙ.
За більш детальною інформацією звертатися до Марії Миколаївни.</t>
  </si>
  <si>
    <t>4211(2), касир (на підприємстві, в установі, організації)</t>
  </si>
  <si>
    <t xml:space="preserve">ВЕДЕННЯ КАСОВИХ ОПЕРАЦІЙ.РОБОТА З РРО З МЕТОЮ ВЕДЕННЯ КОНТРОЛЮ ЗА ОБІГОМ БЕЗГОТІВКОВИХ ТА ГОТІВКОВИХ КОШТІВ,РЕЄСТРАЦІЄЮ НАДАНИХ ПОСЛУГ ТА ІНШЕ.ОБІЛЕЧУЄ ОРЕНДАТОРІВ.ЗА БІЛЬШ ДЕТАЛЬНОЮ ІНФОРМАЦІЄЮ ЗВЕРТТИСЯ ДО ТЕТЯНИ МИКОЛАЇВНИ </t>
  </si>
  <si>
    <t>РОЗВОЗИТИ ТОВАР ПО ТОРГОВИХ ТОЧКАХ; ЗАВАНТАЖУВАТИ, РОЗВАНТАЖУВАТИ МАШИНУ; СЛІДКУВАТИ ЗА ТЕХНІЧНИМ СТАНОМ АВТОМОБІЛЯ; МАТЕРІАЛЬНА ВІДПОВІДАЛЬНІСТЬ.
ЗА БІЛЬШ ДЕТАЛЬНОЮ ІНФОРМАЦІЄЮ ЗВЕРТАТИСЯ ДО ТЕТЯНИ РОМАНІВНИ.</t>
  </si>
  <si>
    <t>7241(49), електромонтер з ремонту та монтажу кабельних ліній</t>
  </si>
  <si>
    <t>МОНТАЖ,РЕМОНТ, РЕГУЛЮВАННЯ І НАЛАГОДЖЕННЯ УСТАТКУВАННЯ, МЕРЕЖІ.ЗА БІЛЬШ ДЕТАЛЬНОЮ ІНФОРМАЦІЄ ЗВЕРТАТИСЯ ДО ТЕТЯНИ МИКОЛАЇВНИ</t>
  </si>
  <si>
    <t>2351.2(7), методист</t>
  </si>
  <si>
    <t>Відповідає за методичну роботу, координує навчально-виховний процес. Бере участь у розробленні методичних матеріалів з питань підвищення кваліфікації та перепідготовки педагогічних працівників. Бере участь у складанні навчальних , навчально - тематичних планів та програм.</t>
  </si>
  <si>
    <t>Організовує технічно правильну експлуатацію і своєчасний ремонт енергетичного  устаткування та енергосистем, безперервне забезпечення виробництва електроенергією, газом, водою та іншими видами енергії, контроль за раціональними витратами енергетичних ресурсів на підприємстві, послідовне дотримання режиму енергозбереження та економії.</t>
  </si>
  <si>
    <t>2225.2(10), лікар-епідеміолог</t>
  </si>
  <si>
    <t xml:space="preserve">Проведення досліджень та епідеміологічної ситуації, розробка та впровадження епідеміологічних заходів, координація зусиль з профілактики і контролю за інфекційними захворюваннями, розпізнання та фіксація епідеміологічних захворювань. </t>
  </si>
  <si>
    <t>3224(2), оптометрист</t>
  </si>
  <si>
    <t xml:space="preserve">ПЕРЕВІРКА ЗОРУ НА СПЕЦІАЛЬНОМУ ОБЛАДНАННІ. НАДАННЯ КОНСУЛЬТАЦІЙ ЩОДО КОРЕКЦІЇ ЗОРУ. ПІДБІР ОПТИЧНИХ ПРИЛАДІВ ДЛЯ КОРЕКЦІЇ ЗОРУ.
За більш детальною інформацією звертатися до Марії Миколаївни.
</t>
  </si>
  <si>
    <t>Робота полягає в охороні території підприєиства, обхід території.Змінний графік роботи. Графік роботи з 08-00 до 20-00 один день через два</t>
  </si>
  <si>
    <t>3225(2), технік зубний</t>
  </si>
  <si>
    <t>МОДЕЛЮВАННЯ ,НАКЛАДКА КЕРАМІЧНИХ МАС,ВИГОТОВЛЕННЯ ЗУБНИХ КОРОНОК.
ЗА БІЛЬШ ДЕТАЛЬНОЮ ІНФОРМАЦІЄЮ ЗВЕРТАТИСЬ ДО ТЕТЯНИ ІВАНІВНИ.</t>
  </si>
  <si>
    <t>Робота  на автомобілі VOLKSWAGEN  LT 46, полягає у розвезенні товарів продуктової групи по території Червоноградського району.Початок роботи о 08.00 годин. Наявність прав водія категорії "С".</t>
  </si>
  <si>
    <t>UA46120070140077349, Львівська область, Шептицький, Лопатинська селищна ТГ, Миколаїв</t>
  </si>
  <si>
    <t>2224.2(8), фармацевт</t>
  </si>
  <si>
    <t>КОНСУЛЬТУВАТИ КЛІЄНТІВ АПТЕКИ, ЗДІЙСНЮВАТИ ПРОДАЖ МЕДИЧНИХ ПРЕПАРАТІВ ТА СУМІЖНИХ ТОВАРІВ ДЛЯ ТВАРИН, СІЛЬСЬКОГОСПОДАРСЬКОЇ ПТИЦІ ТА ТВАРИН. ЗА БІЛЬШ ДЕТАЛЬНОЮ ІНФОРМАЦІЄЮ ЗВЕРТАТИСЯ ДО АНЖЕЛИ ГРИГОРІВНИ.</t>
  </si>
  <si>
    <t>Робота полягає в приготуванні встановленого  асортименту напоїв, обслуговуванні клієнтів. Реалізовує готові до споживання  напої, страви, закуски, кондитерські вироби Вміти оперативно обслуговувати відвідувачів та проводити розрахунки з ними.</t>
  </si>
  <si>
    <t>ВИКОНУЄ ПОЗДОВЖНІЙ ТА ПОПЕРЕЧНИЙ РОЗКРІЙ ПИЛОМАТЕРІАЛІВ З ДЕРЕВИНИ М'ЯКИХ ПОРІД НА ОДНОПИЛЬНИХ ВЕРСТАТАХ. ВИПИЛЮЄ ДЕТАЛІ З ДЕРЕВИНИ М'ЯКИХ ПОРІД ЗА РОЗМІТКОЮ НА СТРІЧКО ПИЛЯЛЬНИХ ВЕРСТАТАХ. РОЗКРОЮЄ ПОПЕРЕДНЬО ПРОПАРЕНІ БРУСКИ, ЗАГОТОВКИ, ГНУТОКЛЕЄНІ, ГНУТІ ДЕТАЛІ. ВИКОНУЄ ФОРМУВАННЯ НЕЛИЧКОВАНИХ ЩИТІВ, РАМОК У ЗАДНІЙ РОЗМІР НА ОДНОПИЛЬНИХ ВЕРСТАТАХ. 
ЗА БІЛЬШ ДЕТАЛЬНОЮ ІНФОРМАЦІЄЮ ЗВЕРТАТИСЯ ДО АНЖЕЛИ ГРИГОРІВНИ.</t>
  </si>
  <si>
    <t>Уміння самостійно виконувати сільськогосподарські  роботи на тракторах(оранка, дискування поля,збір врожаю зернових культур і ін. )Виконувати щозмінне технічне обслуговування тракторів Визначити несправності тракторів та усунути їх. Читати нескладні машинобудівні креслення, схеми, інструкції з експлуатації машин. Раціонально використовувати паливно-мастильні та інші експлуатаційні матеріали та запасні частини</t>
  </si>
  <si>
    <t>Приготування кави та холодних напоїв.Приготування шаурми.Робота з реєстратором розрахункових операцій.За більш детальною інформацією звертатися до Тетяни Миколаївни</t>
  </si>
  <si>
    <t>ГОТУЄ ЗАЛ ДО ОБСЛУГОВУВАННЯ СПОЖИВАЧІВ. ЗДІЙСНЮЄ СЕРВІРУВАННЯ СТОЛІВ. ПРИЙМАЄ ЗАМОВЛЕННЯ ВІД СПОЖИВАЧІВ. ПОДАЄ СТРАВИ І НАПОЇ. ОБСЛУГОВУЄ БАНКЕТИ.ПРИБИРАЄ  ПОСУД, ПРИБОРИ. 
За більш детальною інформацією звертатися до Тетяни Миколаївни.</t>
  </si>
  <si>
    <t>ЦЗ реєстрації (довідник) / Оперативні вакансії</t>
  </si>
  <si>
    <t>Дорівнює</t>
  </si>
  <si>
    <t>1309, Червоноградська філія Львівського обласного центру зайнятості (1300, Львівський обласний центр зайнятості)</t>
  </si>
  <si>
    <t>Стан вакансії / Оперативні вакансії</t>
  </si>
  <si>
    <t>Актуальна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</si>
</sst>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
  </numFmts>
  <fonts count="22" x14ac:knownFonts="1">
    <font>
      <sz val="10"/>
      <name val="Arial"/>
    </font>
    <font>
      <b/>
      <sz val="10"/>
      <name val="Arial"/>
      <family val="2"/>
      <charset val="204"/>
    </font>
    <font>
      <sz val="11"/>
      <color indexed="8"/>
      <name val="Calibri"/>
      <family val="2"/>
      <charset val="204"/>
    </font>
    <font>
      <sz val="11"/>
      <color indexed="9"/>
      <name val="Calibri"/>
      <family val="2"/>
      <charset val="204"/>
    </font>
    <font>
      <b/>
      <sz val="11"/>
      <color indexed="9"/>
      <name val="Calibri"/>
      <family val="2"/>
      <charset val="204"/>
    </font>
    <font>
      <b/>
      <sz val="11"/>
      <color indexed="8"/>
      <name val="Calibri"/>
      <family val="2"/>
      <charset val="204"/>
    </font>
    <font>
      <sz val="11"/>
      <color indexed="10"/>
      <name val="Calibri"/>
      <family val="2"/>
      <charset val="204"/>
    </font>
    <font>
      <sz val="10"/>
      <color indexed="9"/>
      <name val="Arial"/>
    </font>
    <font>
      <u/>
      <sz val="10"/>
      <color indexed="12"/>
      <name val="Arial"/>
    </font>
    <font>
      <sz val="10"/>
      <name val="Arial"/>
    </font>
    <font>
      <sz val="11"/>
      <color rgb="FF9C0006"/>
      <name val="Calibri"/>
      <family val="2"/>
      <charset val="204"/>
    </font>
    <font>
      <b/>
      <sz val="11"/>
      <color rgb="FFFA7D00"/>
      <name val="Calibri"/>
      <family val="2"/>
      <charset val="204"/>
    </font>
    <font>
      <i/>
      <sz val="11"/>
      <color rgb="FF7F7F7F"/>
      <name val="Calibri"/>
      <family val="2"/>
      <charset val="204"/>
    </font>
    <font>
      <sz val="11"/>
      <color rgb="FF006100"/>
      <name val="Calibri"/>
      <family val="2"/>
      <charset val="204"/>
    </font>
    <font>
      <b/>
      <sz val="15"/>
      <color theme="3"/>
      <name val="Calibri"/>
      <family val="2"/>
      <charset val="204"/>
    </font>
    <font>
      <b/>
      <sz val="13"/>
      <color theme="3"/>
      <name val="Calibri"/>
      <family val="2"/>
      <charset val="204"/>
    </font>
    <font>
      <b/>
      <sz val="11"/>
      <color theme="3"/>
      <name val="Calibri"/>
      <family val="2"/>
      <charset val="204"/>
    </font>
    <font>
      <sz val="11"/>
      <color rgb="FF3F3F76"/>
      <name val="Calibri"/>
      <family val="2"/>
      <charset val="204"/>
    </font>
    <font>
      <sz val="11"/>
      <color rgb="FFFA7D00"/>
      <name val="Calibri"/>
      <family val="2"/>
      <charset val="204"/>
    </font>
    <font>
      <sz val="11"/>
      <color rgb="FF9C6500"/>
      <name val="Calibri"/>
      <family val="2"/>
      <charset val="204"/>
    </font>
    <font>
      <b/>
      <sz val="11"/>
      <color rgb="FF3F3F3F"/>
      <name val="Calibri"/>
      <family val="2"/>
      <charset val="204"/>
    </font>
    <font>
      <b/>
      <sz val="18"/>
      <color theme="3"/>
      <name val="Cambria"/>
      <family val="2"/>
      <charset val="204"/>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0" fillId="28" borderId="0" applyNumberFormat="0" applyBorder="0" applyAlignment="0" applyProtection="0"/>
    <xf numFmtId="0" fontId="11" fillId="29" borderId="3" applyNumberFormat="0" applyAlignment="0" applyProtection="0"/>
    <xf numFmtId="0" fontId="4" fillId="30" borderId="4" applyNumberFormat="0" applyAlignment="0" applyProtection="0"/>
    <xf numFmtId="0" fontId="12" fillId="0" borderId="0" applyNumberFormat="0" applyFill="0" applyBorder="0" applyAlignment="0" applyProtection="0"/>
    <xf numFmtId="180" fontId="9" fillId="0" borderId="0" applyFont="0" applyFill="0" applyBorder="0" applyProtection="0">
      <alignment horizontal="center" vertical="center"/>
    </xf>
    <xf numFmtId="49" fontId="9" fillId="0" borderId="0" applyFont="0" applyFill="0" applyBorder="0" applyProtection="0">
      <alignment horizontal="left" vertical="center" wrapText="1"/>
    </xf>
    <xf numFmtId="49" fontId="1" fillId="0" borderId="1" applyFill="0" applyProtection="0">
      <alignment horizontal="center" vertical="center" wrapText="1"/>
    </xf>
    <xf numFmtId="49" fontId="9" fillId="0" borderId="0" applyFont="0" applyFill="0" applyBorder="0" applyProtection="0">
      <alignment horizontal="left" vertical="center" wrapText="1"/>
    </xf>
    <xf numFmtId="0" fontId="13" fillId="31"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 borderId="3" applyNumberFormat="0" applyAlignment="0" applyProtection="0"/>
    <xf numFmtId="0" fontId="18" fillId="0" borderId="8" applyNumberFormat="0" applyFill="0" applyAlignment="0" applyProtection="0"/>
    <xf numFmtId="0" fontId="19" fillId="32" borderId="0" applyNumberFormat="0" applyBorder="0" applyAlignment="0" applyProtection="0"/>
    <xf numFmtId="0" fontId="9" fillId="3" borderId="9" applyNumberFormat="0" applyFont="0" applyAlignment="0" applyProtection="0"/>
    <xf numFmtId="0" fontId="20" fillId="29" borderId="10" applyNumberFormat="0" applyAlignment="0" applyProtection="0"/>
    <xf numFmtId="0" fontId="21" fillId="0" borderId="0" applyNumberFormat="0" applyFill="0" applyBorder="0" applyAlignment="0" applyProtection="0"/>
    <xf numFmtId="0" fontId="5" fillId="0" borderId="11" applyNumberFormat="0" applyFill="0" applyAlignment="0" applyProtection="0"/>
    <xf numFmtId="0" fontId="8" fillId="0" borderId="0" applyNumberFormat="0" applyFill="0" applyBorder="0" applyProtection="0"/>
    <xf numFmtId="4" fontId="9" fillId="0" borderId="0" applyFont="0" applyFill="0" applyBorder="0" applyProtection="0">
      <alignment horizontal="right"/>
    </xf>
    <xf numFmtId="49" fontId="9" fillId="0" borderId="0" applyFont="0" applyFill="0" applyBorder="0" applyProtection="0">
      <alignment wrapText="1"/>
    </xf>
    <xf numFmtId="0" fontId="6" fillId="0" borderId="0" applyNumberFormat="0" applyFill="0" applyBorder="0" applyAlignment="0" applyProtection="0"/>
  </cellStyleXfs>
  <cellXfs count="14">
    <xf numFmtId="0" fontId="0" fillId="0" borderId="0" xfId="0" applyAlignment="1"/>
    <xf numFmtId="0" fontId="1" fillId="0" borderId="2" xfId="0" applyFont="1" applyBorder="1" applyAlignment="1"/>
    <xf numFmtId="49" fontId="1" fillId="0" borderId="1" xfId="31">
      <alignment horizontal="center" vertical="center" wrapText="1"/>
    </xf>
    <xf numFmtId="49" fontId="1" fillId="0" borderId="1" xfId="31" applyBorder="1">
      <alignment horizontal="center" vertical="center" wrapText="1"/>
    </xf>
    <xf numFmtId="49" fontId="7" fillId="0" borderId="0" xfId="0" applyNumberFormat="1" applyFont="1" applyAlignment="1"/>
    <xf numFmtId="0" fontId="7" fillId="0" borderId="0" xfId="0" applyFont="1" applyAlignment="1"/>
    <xf numFmtId="0" fontId="8" fillId="0" borderId="0" xfId="45"/>
    <xf numFmtId="4" fontId="0" fillId="0" borderId="0" xfId="46" applyFont="1">
      <alignment horizontal="right"/>
    </xf>
    <xf numFmtId="49" fontId="0" fillId="0" borderId="0" xfId="47" applyFont="1">
      <alignment wrapText="1"/>
    </xf>
    <xf numFmtId="49" fontId="0" fillId="0" borderId="0" xfId="32" applyFont="1">
      <alignment horizontal="left" vertical="center" wrapText="1"/>
    </xf>
    <xf numFmtId="49" fontId="0" fillId="0" borderId="0" xfId="30" applyFont="1">
      <alignment horizontal="left" vertical="center" wrapText="1"/>
    </xf>
    <xf numFmtId="11" fontId="1" fillId="0" borderId="1" xfId="31" applyNumberFormat="1">
      <alignment horizontal="center" vertical="center" wrapText="1"/>
    </xf>
    <xf numFmtId="11" fontId="0" fillId="0" borderId="0" xfId="0" applyNumberFormat="1" applyAlignment="1"/>
    <xf numFmtId="11" fontId="0" fillId="0" borderId="0" xfId="47" applyNumberFormat="1" applyFont="1">
      <alignment wrapTex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fBlock" xfId="29"/>
    <cellStyle name="fCmp" xfId="30"/>
    <cellStyle name="fHead" xfId="31"/>
    <cellStyle name="fName" xfId="32"/>
    <cellStyle name="Good" xfId="33"/>
    <cellStyle name="Heading 1" xfId="34"/>
    <cellStyle name="Heading 2" xfId="35"/>
    <cellStyle name="Heading 3" xfId="36"/>
    <cellStyle name="Heading 4" xfId="37"/>
    <cellStyle name="Input" xfId="38"/>
    <cellStyle name="Linked Cell" xfId="39"/>
    <cellStyle name="Neutral" xfId="40"/>
    <cellStyle name="Note" xfId="41"/>
    <cellStyle name="Output" xfId="42"/>
    <cellStyle name="Title" xfId="43"/>
    <cellStyle name="Total" xfId="44"/>
    <cellStyle name="vHl" xfId="45"/>
    <cellStyle name="vN0" xfId="46"/>
    <cellStyle name="vSt" xfId="47"/>
    <cellStyle name="Warning Text" xfId="48"/>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F1222"/>
  <sheetViews>
    <sheetView tabSelected="1" zoomScaleNormal="100" workbookViewId="0">
      <pane ySplit="2" topLeftCell="A3" activePane="bottomLeft" state="frozen"/>
      <selection pane="bottomLeft" activeCell="D8" sqref="D8"/>
    </sheetView>
  </sheetViews>
  <sheetFormatPr defaultRowHeight="12.75" x14ac:dyDescent="0.2"/>
  <cols>
    <col min="1" max="1" width="4" hidden="1" customWidth="1"/>
    <col min="2" max="2" width="11.28515625" customWidth="1"/>
    <col min="3" max="3" width="44.140625" customWidth="1"/>
    <col min="4" max="4" width="63.85546875" customWidth="1"/>
    <col min="5" max="5" width="255.7109375" style="12" bestFit="1" customWidth="1"/>
    <col min="6" max="6" width="9.140625" hidden="1" customWidth="1"/>
  </cols>
  <sheetData>
    <row r="1" spans="1:6" ht="51" x14ac:dyDescent="0.2">
      <c r="A1" s="2" t="s">
        <v>4</v>
      </c>
      <c r="B1" s="3" t="s">
        <v>5</v>
      </c>
      <c r="C1" s="3" t="s">
        <v>6</v>
      </c>
      <c r="D1" s="3" t="s">
        <v>7</v>
      </c>
      <c r="E1" s="11" t="s">
        <v>8</v>
      </c>
    </row>
    <row r="2" spans="1:6" x14ac:dyDescent="0.2">
      <c r="B2" s="7">
        <f>SUBTOTAL(9,B3:B1223)</f>
        <v>21831430.480000019</v>
      </c>
    </row>
    <row r="3" spans="1:6" ht="25.5" x14ac:dyDescent="0.2">
      <c r="A3" s="6" t="str">
        <f>HYPERLINK(SUBSTITUTE(T(hl_0),"{0}","442391284432564"),hn_0)</f>
        <v>ОВ</v>
      </c>
      <c r="B3" s="7">
        <v>12485</v>
      </c>
      <c r="C3" s="8" t="s">
        <v>10</v>
      </c>
      <c r="D3" s="8" t="s">
        <v>11</v>
      </c>
      <c r="E3" s="13" t="s">
        <v>12</v>
      </c>
    </row>
    <row r="4" spans="1:6" ht="25.5" x14ac:dyDescent="0.2">
      <c r="A4" s="6" t="str">
        <f>HYPERLINK(SUBSTITUTE(T(hl_0),"{0}","442391283328749"),hn_0)</f>
        <v>ОВ</v>
      </c>
      <c r="B4" s="7">
        <v>39940</v>
      </c>
      <c r="C4" s="8" t="s">
        <v>13</v>
      </c>
      <c r="D4" s="8" t="s">
        <v>11</v>
      </c>
      <c r="E4" s="13" t="s">
        <v>14</v>
      </c>
    </row>
    <row r="5" spans="1:6" ht="25.5" x14ac:dyDescent="0.2">
      <c r="A5" s="6" t="str">
        <f>HYPERLINK(SUBSTITUTE(T(hl_0),"{0}","442392544345264"),hn_0)</f>
        <v>ОВ</v>
      </c>
      <c r="B5" s="7">
        <v>16000</v>
      </c>
      <c r="C5" s="8" t="s">
        <v>15</v>
      </c>
      <c r="D5" s="8" t="s">
        <v>16</v>
      </c>
      <c r="E5" s="13" t="s">
        <v>17</v>
      </c>
      <c r="F5" s="5">
        <v>2</v>
      </c>
    </row>
    <row r="6" spans="1:6" ht="25.5" x14ac:dyDescent="0.2">
      <c r="A6" s="6" t="str">
        <f>HYPERLINK(SUBSTITUTE(T(hl_0),"{0}","442391470376604"),hn_0)</f>
        <v>ОВ</v>
      </c>
      <c r="B6" s="7">
        <v>17000</v>
      </c>
      <c r="C6" s="8" t="s">
        <v>18</v>
      </c>
      <c r="D6" s="8" t="s">
        <v>19</v>
      </c>
      <c r="E6" s="13" t="s">
        <v>20</v>
      </c>
      <c r="F6" s="5">
        <v>5</v>
      </c>
    </row>
    <row r="7" spans="1:6" ht="25.5" x14ac:dyDescent="0.2">
      <c r="A7" s="6" t="str">
        <f>HYPERLINK(SUBSTITUTE(T(hl_0),"{0}","442391142187498"),hn_0)</f>
        <v>ОВ</v>
      </c>
      <c r="B7" s="7">
        <v>18000</v>
      </c>
      <c r="C7" s="8" t="s">
        <v>21</v>
      </c>
      <c r="D7" s="8" t="s">
        <v>11</v>
      </c>
      <c r="E7" s="13" t="s">
        <v>22</v>
      </c>
    </row>
    <row r="8" spans="1:6" ht="25.5" x14ac:dyDescent="0.2">
      <c r="A8" s="6" t="str">
        <f>HYPERLINK(SUBSTITUTE(T(hl_0),"{0}","442391284075562"),hn_0)</f>
        <v>ОВ</v>
      </c>
      <c r="B8" s="7">
        <v>23845</v>
      </c>
      <c r="C8" s="8" t="s">
        <v>23</v>
      </c>
      <c r="D8" s="8" t="s">
        <v>11</v>
      </c>
      <c r="E8" s="13" t="s">
        <v>24</v>
      </c>
      <c r="F8" s="4" t="s">
        <v>9</v>
      </c>
    </row>
    <row r="9" spans="1:6" ht="25.5" x14ac:dyDescent="0.2">
      <c r="A9" s="6" t="str">
        <f>HYPERLINK(SUBSTITUTE(T(hl_0),"{0}","442392384372020"),hn_0)</f>
        <v>ОВ</v>
      </c>
      <c r="B9" s="7">
        <v>23000</v>
      </c>
      <c r="C9" s="8" t="s">
        <v>18</v>
      </c>
      <c r="D9" s="8" t="s">
        <v>25</v>
      </c>
      <c r="E9" s="13" t="s">
        <v>26</v>
      </c>
      <c r="F9" s="4" t="s">
        <v>4</v>
      </c>
    </row>
    <row r="10" spans="1:6" ht="25.5" x14ac:dyDescent="0.2">
      <c r="A10" s="6" t="str">
        <f>HYPERLINK(SUBSTITUTE(T(hl_0),"{0}","442390287860045"),hn_0)</f>
        <v>ОВ</v>
      </c>
      <c r="B10" s="7">
        <v>20000</v>
      </c>
      <c r="C10" s="8" t="s">
        <v>27</v>
      </c>
      <c r="D10" s="8" t="s">
        <v>11</v>
      </c>
      <c r="E10" s="13" t="s">
        <v>28</v>
      </c>
    </row>
    <row r="11" spans="1:6" ht="38.25" x14ac:dyDescent="0.2">
      <c r="A11" s="6" t="str">
        <f>HYPERLINK(SUBSTITUTE(T(hl_0),"{0}","442391247477623"),hn_0)</f>
        <v>ОВ</v>
      </c>
      <c r="B11" s="7">
        <v>14300</v>
      </c>
      <c r="C11" s="8" t="s">
        <v>29</v>
      </c>
      <c r="D11" s="8" t="s">
        <v>30</v>
      </c>
      <c r="E11" s="13" t="s">
        <v>31</v>
      </c>
    </row>
    <row r="12" spans="1:6" ht="25.5" x14ac:dyDescent="0.2">
      <c r="A12" s="6" t="str">
        <f>HYPERLINK(SUBSTITUTE(T(hl_0),"{0}","442392384372141"),hn_0)</f>
        <v>ОВ</v>
      </c>
      <c r="B12" s="7">
        <v>23000</v>
      </c>
      <c r="C12" s="8" t="s">
        <v>18</v>
      </c>
      <c r="D12" s="8" t="s">
        <v>25</v>
      </c>
      <c r="E12" s="13" t="s">
        <v>26</v>
      </c>
    </row>
    <row r="13" spans="1:6" ht="51" x14ac:dyDescent="0.2">
      <c r="A13" s="6" t="str">
        <f>HYPERLINK(SUBSTITUTE(T(hl_0),"{0}","442389665575904"),hn_0)</f>
        <v>ОВ</v>
      </c>
      <c r="B13" s="7">
        <v>25000</v>
      </c>
      <c r="C13" s="8" t="s">
        <v>32</v>
      </c>
      <c r="D13" s="8" t="s">
        <v>33</v>
      </c>
      <c r="E13" s="13" t="s">
        <v>34</v>
      </c>
    </row>
    <row r="14" spans="1:6" ht="38.25" x14ac:dyDescent="0.2">
      <c r="A14" s="6" t="str">
        <f>HYPERLINK(SUBSTITUTE(T(hl_0),"{0}","442388541433370"),hn_0)</f>
        <v>ОВ</v>
      </c>
      <c r="B14" s="7">
        <v>15991.92</v>
      </c>
      <c r="C14" s="8" t="s">
        <v>18</v>
      </c>
      <c r="D14" s="8" t="s">
        <v>25</v>
      </c>
      <c r="E14" s="13" t="s">
        <v>35</v>
      </c>
    </row>
    <row r="15" spans="1:6" ht="25.5" x14ac:dyDescent="0.2">
      <c r="A15" s="6" t="str">
        <f>HYPERLINK(SUBSTITUTE(T(hl_0),"{0}","442390220267223"),hn_0)</f>
        <v>ОВ</v>
      </c>
      <c r="B15" s="7">
        <v>20000</v>
      </c>
      <c r="C15" s="8" t="s">
        <v>36</v>
      </c>
      <c r="D15" s="8" t="s">
        <v>11</v>
      </c>
      <c r="E15" s="13" t="s">
        <v>37</v>
      </c>
    </row>
    <row r="16" spans="1:6" ht="25.5" x14ac:dyDescent="0.2">
      <c r="A16" s="6" t="str">
        <f>HYPERLINK(SUBSTITUTE(T(hl_0),"{0}","442385111122283"),hn_0)</f>
        <v>ОВ</v>
      </c>
      <c r="B16" s="7">
        <v>9000</v>
      </c>
      <c r="C16" s="8" t="s">
        <v>38</v>
      </c>
      <c r="D16" s="8" t="s">
        <v>39</v>
      </c>
      <c r="E16" s="13" t="s">
        <v>40</v>
      </c>
    </row>
    <row r="17" spans="1:5" ht="76.5" x14ac:dyDescent="0.2">
      <c r="A17" s="6" t="str">
        <f>HYPERLINK(SUBSTITUTE(T(hl_0),"{0}","442393653400669"),hn_0)</f>
        <v>ОВ</v>
      </c>
      <c r="B17" s="7">
        <v>14000</v>
      </c>
      <c r="C17" s="8" t="s">
        <v>41</v>
      </c>
      <c r="D17" s="8" t="s">
        <v>11</v>
      </c>
      <c r="E17" s="13" t="s">
        <v>42</v>
      </c>
    </row>
    <row r="18" spans="1:5" ht="25.5" x14ac:dyDescent="0.2">
      <c r="A18" s="6" t="str">
        <f>HYPERLINK(SUBSTITUTE(T(hl_0),"{0}","442393905061576"),hn_0)</f>
        <v>ОВ</v>
      </c>
      <c r="B18" s="7">
        <v>8667</v>
      </c>
      <c r="C18" s="8" t="s">
        <v>43</v>
      </c>
      <c r="D18" s="8" t="s">
        <v>11</v>
      </c>
      <c r="E18" s="13" t="s">
        <v>44</v>
      </c>
    </row>
    <row r="19" spans="1:5" ht="25.5" x14ac:dyDescent="0.2">
      <c r="A19" s="6" t="str">
        <f>HYPERLINK(SUBSTITUTE(T(hl_0),"{0}","442393905117183"),hn_0)</f>
        <v>ОВ</v>
      </c>
      <c r="B19" s="7">
        <v>14000</v>
      </c>
      <c r="C19" s="8" t="s">
        <v>45</v>
      </c>
      <c r="D19" s="8" t="s">
        <v>11</v>
      </c>
      <c r="E19" s="13" t="s">
        <v>46</v>
      </c>
    </row>
    <row r="20" spans="1:5" ht="25.5" x14ac:dyDescent="0.2">
      <c r="A20" s="6" t="str">
        <f>HYPERLINK(SUBSTITUTE(T(hl_0),"{0}","442393905061684"),hn_0)</f>
        <v>ОВ</v>
      </c>
      <c r="B20" s="7">
        <v>8667</v>
      </c>
      <c r="C20" s="8" t="s">
        <v>43</v>
      </c>
      <c r="D20" s="8" t="s">
        <v>11</v>
      </c>
      <c r="E20" s="13" t="s">
        <v>44</v>
      </c>
    </row>
    <row r="21" spans="1:5" ht="25.5" x14ac:dyDescent="0.2">
      <c r="A21" s="6" t="str">
        <f>HYPERLINK(SUBSTITUTE(T(hl_0),"{0}","442391284449241"),hn_0)</f>
        <v>ОВ</v>
      </c>
      <c r="B21" s="7">
        <v>27850</v>
      </c>
      <c r="C21" s="8" t="s">
        <v>47</v>
      </c>
      <c r="D21" s="8" t="s">
        <v>11</v>
      </c>
      <c r="E21" s="13" t="s">
        <v>48</v>
      </c>
    </row>
    <row r="22" spans="1:5" ht="25.5" x14ac:dyDescent="0.2">
      <c r="A22" s="6" t="str">
        <f>HYPERLINK(SUBSTITUTE(T(hl_0),"{0}","442392721194592"),hn_0)</f>
        <v>ОВ</v>
      </c>
      <c r="B22" s="7">
        <v>16400</v>
      </c>
      <c r="C22" s="8" t="s">
        <v>10</v>
      </c>
      <c r="D22" s="8" t="s">
        <v>39</v>
      </c>
      <c r="E22" s="13" t="s">
        <v>49</v>
      </c>
    </row>
    <row r="23" spans="1:5" ht="25.5" x14ac:dyDescent="0.2">
      <c r="A23" s="6" t="str">
        <f>HYPERLINK(SUBSTITUTE(T(hl_0),"{0}","442391141993721"),hn_0)</f>
        <v>ОВ</v>
      </c>
      <c r="B23" s="7">
        <v>18000</v>
      </c>
      <c r="C23" s="8" t="s">
        <v>21</v>
      </c>
      <c r="D23" s="8" t="s">
        <v>11</v>
      </c>
      <c r="E23" s="13" t="s">
        <v>22</v>
      </c>
    </row>
    <row r="24" spans="1:5" ht="25.5" x14ac:dyDescent="0.2">
      <c r="A24" s="6" t="str">
        <f>HYPERLINK(SUBSTITUTE(T(hl_0),"{0}","442390287834930"),hn_0)</f>
        <v>ОВ</v>
      </c>
      <c r="B24" s="7">
        <v>12000</v>
      </c>
      <c r="C24" s="8" t="s">
        <v>15</v>
      </c>
      <c r="D24" s="8" t="s">
        <v>11</v>
      </c>
      <c r="E24" s="13" t="s">
        <v>50</v>
      </c>
    </row>
    <row r="25" spans="1:5" ht="25.5" x14ac:dyDescent="0.2">
      <c r="A25" s="6" t="str">
        <f>HYPERLINK(SUBSTITUTE(T(hl_0),"{0}","442391283500437"),hn_0)</f>
        <v>ОВ</v>
      </c>
      <c r="B25" s="7">
        <v>29060</v>
      </c>
      <c r="C25" s="8" t="s">
        <v>51</v>
      </c>
      <c r="D25" s="8" t="s">
        <v>11</v>
      </c>
      <c r="E25" s="13" t="s">
        <v>52</v>
      </c>
    </row>
    <row r="26" spans="1:5" ht="25.5" x14ac:dyDescent="0.2">
      <c r="A26" s="6" t="str">
        <f>HYPERLINK(SUBSTITUTE(T(hl_0),"{0}","442392720640982"),hn_0)</f>
        <v>ОВ</v>
      </c>
      <c r="B26" s="7">
        <v>16400</v>
      </c>
      <c r="C26" s="8" t="s">
        <v>53</v>
      </c>
      <c r="D26" s="8" t="s">
        <v>39</v>
      </c>
      <c r="E26" s="13" t="s">
        <v>54</v>
      </c>
    </row>
    <row r="27" spans="1:5" ht="25.5" x14ac:dyDescent="0.2">
      <c r="A27" s="6" t="str">
        <f>HYPERLINK(SUBSTITUTE(T(hl_0),"{0}","442391283499437"),hn_0)</f>
        <v>ОВ</v>
      </c>
      <c r="B27" s="7">
        <v>29060</v>
      </c>
      <c r="C27" s="8" t="s">
        <v>51</v>
      </c>
      <c r="D27" s="8" t="s">
        <v>11</v>
      </c>
      <c r="E27" s="13" t="s">
        <v>52</v>
      </c>
    </row>
    <row r="28" spans="1:5" ht="25.5" x14ac:dyDescent="0.2">
      <c r="A28" s="6" t="str">
        <f>HYPERLINK(SUBSTITUTE(T(hl_0),"{0}","442392384372100"),hn_0)</f>
        <v>ОВ</v>
      </c>
      <c r="B28" s="7">
        <v>23000</v>
      </c>
      <c r="C28" s="8" t="s">
        <v>18</v>
      </c>
      <c r="D28" s="8" t="s">
        <v>25</v>
      </c>
      <c r="E28" s="13" t="s">
        <v>26</v>
      </c>
    </row>
    <row r="29" spans="1:5" ht="25.5" x14ac:dyDescent="0.2">
      <c r="A29" s="6" t="str">
        <f>HYPERLINK(SUBSTITUTE(T(hl_0),"{0}","442389451938178"),hn_0)</f>
        <v>ОВ</v>
      </c>
      <c r="B29" s="7">
        <v>25000</v>
      </c>
      <c r="C29" s="8" t="s">
        <v>32</v>
      </c>
      <c r="D29" s="8" t="s">
        <v>33</v>
      </c>
      <c r="E29" s="13" t="s">
        <v>55</v>
      </c>
    </row>
    <row r="30" spans="1:5" ht="38.25" x14ac:dyDescent="0.2">
      <c r="A30" s="6" t="str">
        <f>HYPERLINK(SUBSTITUTE(T(hl_0),"{0}","442388541433588"),hn_0)</f>
        <v>ОВ</v>
      </c>
      <c r="B30" s="7">
        <v>15991.92</v>
      </c>
      <c r="C30" s="8" t="s">
        <v>51</v>
      </c>
      <c r="D30" s="8" t="s">
        <v>25</v>
      </c>
      <c r="E30" s="13" t="s">
        <v>56</v>
      </c>
    </row>
    <row r="31" spans="1:5" ht="25.5" x14ac:dyDescent="0.2">
      <c r="A31" s="6" t="str">
        <f>HYPERLINK(SUBSTITUTE(T(hl_0),"{0}","442389452095834"),hn_0)</f>
        <v>ОВ</v>
      </c>
      <c r="B31" s="7">
        <v>22000</v>
      </c>
      <c r="C31" s="8" t="s">
        <v>57</v>
      </c>
      <c r="D31" s="8" t="s">
        <v>33</v>
      </c>
      <c r="E31" s="13" t="s">
        <v>58</v>
      </c>
    </row>
    <row r="32" spans="1:5" ht="25.5" x14ac:dyDescent="0.2">
      <c r="A32" s="6" t="str">
        <f>HYPERLINK(SUBSTITUTE(T(hl_0),"{0}","442387705487846"),hn_0)</f>
        <v>ОВ</v>
      </c>
      <c r="B32" s="7">
        <v>8000</v>
      </c>
      <c r="C32" s="8" t="s">
        <v>59</v>
      </c>
      <c r="D32" s="8" t="s">
        <v>60</v>
      </c>
      <c r="E32" s="13" t="s">
        <v>61</v>
      </c>
    </row>
    <row r="33" spans="1:5" ht="38.25" x14ac:dyDescent="0.2">
      <c r="A33" s="6" t="str">
        <f>HYPERLINK(SUBSTITUTE(T(hl_0),"{0}","442388541433194"),hn_0)</f>
        <v>ОВ</v>
      </c>
      <c r="B33" s="7">
        <v>15991.92</v>
      </c>
      <c r="C33" s="8" t="s">
        <v>18</v>
      </c>
      <c r="D33" s="8" t="s">
        <v>25</v>
      </c>
      <c r="E33" s="13" t="s">
        <v>35</v>
      </c>
    </row>
    <row r="34" spans="1:5" ht="38.25" x14ac:dyDescent="0.2">
      <c r="A34" s="6" t="str">
        <f>HYPERLINK(SUBSTITUTE(T(hl_0),"{0}","442388541433237"),hn_0)</f>
        <v>ОВ</v>
      </c>
      <c r="B34" s="7">
        <v>15991.92</v>
      </c>
      <c r="C34" s="8" t="s">
        <v>18</v>
      </c>
      <c r="D34" s="8" t="s">
        <v>25</v>
      </c>
      <c r="E34" s="13" t="s">
        <v>35</v>
      </c>
    </row>
    <row r="35" spans="1:5" ht="25.5" x14ac:dyDescent="0.2">
      <c r="A35" s="6" t="str">
        <f>HYPERLINK(SUBSTITUTE(T(hl_0),"{0}","442393724271216"),hn_0)</f>
        <v>ОВ</v>
      </c>
      <c r="B35" s="7">
        <v>17100</v>
      </c>
      <c r="C35" s="8" t="s">
        <v>62</v>
      </c>
      <c r="D35" s="8" t="s">
        <v>30</v>
      </c>
      <c r="E35" s="13" t="s">
        <v>63</v>
      </c>
    </row>
    <row r="36" spans="1:5" ht="25.5" x14ac:dyDescent="0.2">
      <c r="A36" s="6" t="str">
        <f>HYPERLINK(SUBSTITUTE(T(hl_0),"{0}","442393905248503"),hn_0)</f>
        <v>ОВ</v>
      </c>
      <c r="B36" s="7">
        <v>8667</v>
      </c>
      <c r="C36" s="8" t="s">
        <v>64</v>
      </c>
      <c r="D36" s="8" t="s">
        <v>11</v>
      </c>
      <c r="E36" s="13" t="s">
        <v>65</v>
      </c>
    </row>
    <row r="37" spans="1:5" ht="25.5" x14ac:dyDescent="0.2">
      <c r="A37" s="6" t="str">
        <f>HYPERLINK(SUBSTITUTE(T(hl_0),"{0}","442392094077459"),hn_0)</f>
        <v>ОВ</v>
      </c>
      <c r="B37" s="7">
        <v>15000</v>
      </c>
      <c r="C37" s="8" t="s">
        <v>66</v>
      </c>
      <c r="D37" s="8" t="s">
        <v>67</v>
      </c>
      <c r="E37" s="13" t="s">
        <v>68</v>
      </c>
    </row>
    <row r="38" spans="1:5" ht="25.5" x14ac:dyDescent="0.2">
      <c r="A38" s="6" t="str">
        <f>HYPERLINK(SUBSTITUTE(T(hl_0),"{0}","442391435688063"),hn_0)</f>
        <v>ОВ</v>
      </c>
      <c r="B38" s="7">
        <v>20160</v>
      </c>
      <c r="C38" s="8" t="s">
        <v>69</v>
      </c>
      <c r="D38" s="8" t="s">
        <v>70</v>
      </c>
      <c r="E38" s="13" t="s">
        <v>71</v>
      </c>
    </row>
    <row r="39" spans="1:5" ht="38.25" x14ac:dyDescent="0.2">
      <c r="A39" s="6" t="str">
        <f>HYPERLINK(SUBSTITUTE(T(hl_0),"{0}","442391213133107"),hn_0)</f>
        <v>ОВ</v>
      </c>
      <c r="B39" s="7">
        <v>9800</v>
      </c>
      <c r="C39" s="8" t="s">
        <v>72</v>
      </c>
      <c r="D39" s="8" t="s">
        <v>11</v>
      </c>
      <c r="E39" s="13" t="s">
        <v>73</v>
      </c>
    </row>
    <row r="40" spans="1:5" ht="25.5" x14ac:dyDescent="0.2">
      <c r="A40" s="6" t="str">
        <f>HYPERLINK(SUBSTITUTE(T(hl_0),"{0}","442392720486642"),hn_0)</f>
        <v>ОВ</v>
      </c>
      <c r="B40" s="7">
        <v>14700</v>
      </c>
      <c r="C40" s="8" t="s">
        <v>74</v>
      </c>
      <c r="D40" s="8" t="s">
        <v>39</v>
      </c>
      <c r="E40" s="13" t="s">
        <v>75</v>
      </c>
    </row>
    <row r="41" spans="1:5" ht="25.5" x14ac:dyDescent="0.2">
      <c r="A41" s="6" t="str">
        <f>HYPERLINK(SUBSTITUTE(T(hl_0),"{0}","442391283323752"),hn_0)</f>
        <v>ОВ</v>
      </c>
      <c r="B41" s="7">
        <v>39940</v>
      </c>
      <c r="C41" s="8" t="s">
        <v>13</v>
      </c>
      <c r="D41" s="8" t="s">
        <v>11</v>
      </c>
      <c r="E41" s="13" t="s">
        <v>14</v>
      </c>
    </row>
    <row r="42" spans="1:5" ht="25.5" x14ac:dyDescent="0.2">
      <c r="A42" s="6" t="str">
        <f>HYPERLINK(SUBSTITUTE(T(hl_0),"{0}","442391283500347"),hn_0)</f>
        <v>ОВ</v>
      </c>
      <c r="B42" s="7">
        <v>29060</v>
      </c>
      <c r="C42" s="8" t="s">
        <v>51</v>
      </c>
      <c r="D42" s="8" t="s">
        <v>11</v>
      </c>
      <c r="E42" s="13" t="s">
        <v>52</v>
      </c>
    </row>
    <row r="43" spans="1:5" ht="25.5" x14ac:dyDescent="0.2">
      <c r="A43" s="6" t="str">
        <f>HYPERLINK(SUBSTITUTE(T(hl_0),"{0}","442389800876494"),hn_0)</f>
        <v>ОВ</v>
      </c>
      <c r="B43" s="7">
        <v>9100</v>
      </c>
      <c r="C43" s="8" t="s">
        <v>76</v>
      </c>
      <c r="D43" s="8" t="s">
        <v>77</v>
      </c>
      <c r="E43" s="13" t="s">
        <v>78</v>
      </c>
    </row>
    <row r="44" spans="1:5" ht="25.5" x14ac:dyDescent="0.2">
      <c r="A44" s="6" t="str">
        <f>HYPERLINK(SUBSTITUTE(T(hl_0),"{0}","442388435656014"),hn_0)</f>
        <v>ОВ</v>
      </c>
      <c r="B44" s="7">
        <v>8000</v>
      </c>
      <c r="C44" s="8" t="s">
        <v>79</v>
      </c>
      <c r="D44" s="8" t="s">
        <v>80</v>
      </c>
      <c r="E44" s="13" t="s">
        <v>81</v>
      </c>
    </row>
    <row r="45" spans="1:5" ht="25.5" x14ac:dyDescent="0.2">
      <c r="A45" s="6" t="str">
        <f>HYPERLINK(SUBSTITUTE(T(hl_0),"{0}","442389664829077"),hn_0)</f>
        <v>ОВ</v>
      </c>
      <c r="B45" s="7">
        <v>22000</v>
      </c>
      <c r="C45" s="8" t="s">
        <v>51</v>
      </c>
      <c r="D45" s="8" t="s">
        <v>19</v>
      </c>
      <c r="E45" s="13" t="s">
        <v>82</v>
      </c>
    </row>
    <row r="46" spans="1:5" ht="38.25" x14ac:dyDescent="0.2">
      <c r="A46" s="6" t="str">
        <f>HYPERLINK(SUBSTITUTE(T(hl_0),"{0}","442388541433936"),hn_0)</f>
        <v>ОВ</v>
      </c>
      <c r="B46" s="7">
        <v>15991.92</v>
      </c>
      <c r="C46" s="8" t="s">
        <v>51</v>
      </c>
      <c r="D46" s="8" t="s">
        <v>25</v>
      </c>
      <c r="E46" s="13" t="s">
        <v>56</v>
      </c>
    </row>
    <row r="47" spans="1:5" ht="25.5" x14ac:dyDescent="0.2">
      <c r="A47" s="6" t="str">
        <f>HYPERLINK(SUBSTITUTE(T(hl_0),"{0}","442387705295919"),hn_0)</f>
        <v>ОВ</v>
      </c>
      <c r="B47" s="7">
        <v>8000</v>
      </c>
      <c r="C47" s="8" t="s">
        <v>83</v>
      </c>
      <c r="D47" s="8" t="s">
        <v>60</v>
      </c>
      <c r="E47" s="13" t="s">
        <v>84</v>
      </c>
    </row>
    <row r="48" spans="1:5" ht="25.5" x14ac:dyDescent="0.2">
      <c r="A48" s="6" t="str">
        <f>HYPERLINK(SUBSTITUTE(T(hl_0),"{0}","442384006836605"),hn_0)</f>
        <v>ОВ</v>
      </c>
      <c r="B48" s="7">
        <v>13000</v>
      </c>
      <c r="C48" s="8" t="s">
        <v>29</v>
      </c>
      <c r="D48" s="8" t="s">
        <v>85</v>
      </c>
      <c r="E48" s="13" t="s">
        <v>86</v>
      </c>
    </row>
    <row r="49" spans="1:5" ht="25.5" x14ac:dyDescent="0.2">
      <c r="A49" s="6" t="str">
        <f>HYPERLINK(SUBSTITUTE(T(hl_0),"{0}","442393905117562"),hn_0)</f>
        <v>ОВ</v>
      </c>
      <c r="B49" s="7">
        <v>14000</v>
      </c>
      <c r="C49" s="8" t="s">
        <v>45</v>
      </c>
      <c r="D49" s="8" t="s">
        <v>11</v>
      </c>
      <c r="E49" s="13" t="s">
        <v>46</v>
      </c>
    </row>
    <row r="50" spans="1:5" ht="38.25" x14ac:dyDescent="0.2">
      <c r="A50" s="6" t="str">
        <f>HYPERLINK(SUBSTITUTE(T(hl_0),"{0}","442395069278677"),hn_0)</f>
        <v>ОВ</v>
      </c>
      <c r="B50" s="7">
        <v>28515</v>
      </c>
      <c r="C50" s="8" t="s">
        <v>51</v>
      </c>
      <c r="D50" s="8" t="s">
        <v>11</v>
      </c>
      <c r="E50" s="13" t="s">
        <v>87</v>
      </c>
    </row>
    <row r="51" spans="1:5" ht="25.5" x14ac:dyDescent="0.2">
      <c r="A51" s="6" t="str">
        <f>HYPERLINK(SUBSTITUTE(T(hl_0),"{0}","442393905185848"),hn_0)</f>
        <v>ОВ</v>
      </c>
      <c r="B51" s="7">
        <v>14000</v>
      </c>
      <c r="C51" s="8" t="s">
        <v>76</v>
      </c>
      <c r="D51" s="8" t="s">
        <v>11</v>
      </c>
      <c r="E51" s="13" t="s">
        <v>88</v>
      </c>
    </row>
    <row r="52" spans="1:5" ht="25.5" x14ac:dyDescent="0.2">
      <c r="A52" s="6" t="str">
        <f>HYPERLINK(SUBSTITUTE(T(hl_0),"{0}","442393905211834"),hn_0)</f>
        <v>ОВ</v>
      </c>
      <c r="B52" s="7">
        <v>14000</v>
      </c>
      <c r="C52" s="8" t="s">
        <v>89</v>
      </c>
      <c r="D52" s="8" t="s">
        <v>11</v>
      </c>
      <c r="E52" s="13" t="s">
        <v>90</v>
      </c>
    </row>
    <row r="53" spans="1:5" ht="25.5" x14ac:dyDescent="0.2">
      <c r="A53" s="6" t="str">
        <f>HYPERLINK(SUBSTITUTE(T(hl_0),"{0}","442391284015122"),hn_0)</f>
        <v>ОВ</v>
      </c>
      <c r="B53" s="7">
        <v>23845</v>
      </c>
      <c r="C53" s="8" t="s">
        <v>91</v>
      </c>
      <c r="D53" s="8" t="s">
        <v>11</v>
      </c>
      <c r="E53" s="13" t="s">
        <v>92</v>
      </c>
    </row>
    <row r="54" spans="1:5" ht="25.5" x14ac:dyDescent="0.2">
      <c r="A54" s="6" t="str">
        <f>HYPERLINK(SUBSTITUTE(T(hl_0),"{0}","442391284074466"),hn_0)</f>
        <v>ОВ</v>
      </c>
      <c r="B54" s="7">
        <v>23845</v>
      </c>
      <c r="C54" s="8" t="s">
        <v>23</v>
      </c>
      <c r="D54" s="8" t="s">
        <v>11</v>
      </c>
      <c r="E54" s="13" t="s">
        <v>24</v>
      </c>
    </row>
    <row r="55" spans="1:5" ht="25.5" x14ac:dyDescent="0.2">
      <c r="A55" s="6" t="str">
        <f>HYPERLINK(SUBSTITUTE(T(hl_0),"{0}","442391470307079"),hn_0)</f>
        <v>ОВ</v>
      </c>
      <c r="B55" s="7">
        <v>25000</v>
      </c>
      <c r="C55" s="8" t="s">
        <v>13</v>
      </c>
      <c r="D55" s="8" t="s">
        <v>19</v>
      </c>
      <c r="E55" s="13" t="s">
        <v>93</v>
      </c>
    </row>
    <row r="56" spans="1:5" ht="25.5" x14ac:dyDescent="0.2">
      <c r="A56" s="6" t="str">
        <f>HYPERLINK(SUBSTITUTE(T(hl_0),"{0}","442392721628642"),hn_0)</f>
        <v>ОВ</v>
      </c>
      <c r="B56" s="7">
        <v>14700</v>
      </c>
      <c r="C56" s="8" t="s">
        <v>10</v>
      </c>
      <c r="D56" s="8" t="s">
        <v>39</v>
      </c>
      <c r="E56" s="13" t="s">
        <v>94</v>
      </c>
    </row>
    <row r="57" spans="1:5" ht="25.5" x14ac:dyDescent="0.2">
      <c r="A57" s="6" t="str">
        <f>HYPERLINK(SUBSTITUTE(T(hl_0),"{0}","442391470376089"),hn_0)</f>
        <v>ОВ</v>
      </c>
      <c r="B57" s="7">
        <v>17000</v>
      </c>
      <c r="C57" s="8" t="s">
        <v>18</v>
      </c>
      <c r="D57" s="8" t="s">
        <v>19</v>
      </c>
      <c r="E57" s="13" t="s">
        <v>20</v>
      </c>
    </row>
    <row r="58" spans="1:5" ht="25.5" x14ac:dyDescent="0.2">
      <c r="A58" s="6" t="str">
        <f>HYPERLINK(SUBSTITUTE(T(hl_0),"{0}","442392721015248"),hn_0)</f>
        <v>ОВ</v>
      </c>
      <c r="B58" s="7">
        <v>21800</v>
      </c>
      <c r="C58" s="8" t="s">
        <v>95</v>
      </c>
      <c r="D58" s="8" t="s">
        <v>39</v>
      </c>
      <c r="E58" s="13" t="s">
        <v>96</v>
      </c>
    </row>
    <row r="59" spans="1:5" ht="25.5" x14ac:dyDescent="0.2">
      <c r="A59" s="6" t="str">
        <f>HYPERLINK(SUBSTITUTE(T(hl_0),"{0}","442392720462696"),hn_0)</f>
        <v>ОВ</v>
      </c>
      <c r="B59" s="7">
        <v>16400</v>
      </c>
      <c r="C59" s="8" t="s">
        <v>97</v>
      </c>
      <c r="D59" s="8" t="s">
        <v>39</v>
      </c>
      <c r="E59" s="13" t="s">
        <v>98</v>
      </c>
    </row>
    <row r="60" spans="1:5" ht="25.5" x14ac:dyDescent="0.2">
      <c r="A60" s="6" t="str">
        <f>HYPERLINK(SUBSTITUTE(T(hl_0),"{0}","442390287904305"),hn_0)</f>
        <v>ОВ</v>
      </c>
      <c r="B60" s="7">
        <v>20000</v>
      </c>
      <c r="C60" s="8" t="s">
        <v>45</v>
      </c>
      <c r="D60" s="8" t="s">
        <v>11</v>
      </c>
      <c r="E60" s="13" t="s">
        <v>99</v>
      </c>
    </row>
    <row r="61" spans="1:5" ht="25.5" x14ac:dyDescent="0.2">
      <c r="A61" s="6" t="str">
        <f>HYPERLINK(SUBSTITUTE(T(hl_0),"{0}","442391283309261"),hn_0)</f>
        <v>ОВ</v>
      </c>
      <c r="B61" s="7">
        <v>39940</v>
      </c>
      <c r="C61" s="8" t="s">
        <v>13</v>
      </c>
      <c r="D61" s="8" t="s">
        <v>11</v>
      </c>
      <c r="E61" s="13" t="s">
        <v>14</v>
      </c>
    </row>
    <row r="62" spans="1:5" ht="25.5" x14ac:dyDescent="0.2">
      <c r="A62" s="6" t="str">
        <f>HYPERLINK(SUBSTITUTE(T(hl_0),"{0}","442392384626925"),hn_0)</f>
        <v>ОВ</v>
      </c>
      <c r="B62" s="7">
        <v>8000</v>
      </c>
      <c r="C62" s="8" t="s">
        <v>100</v>
      </c>
      <c r="D62" s="8" t="s">
        <v>25</v>
      </c>
      <c r="E62" s="13" t="s">
        <v>101</v>
      </c>
    </row>
    <row r="63" spans="1:5" ht="25.5" x14ac:dyDescent="0.2">
      <c r="A63" s="6" t="str">
        <f>HYPERLINK(SUBSTITUTE(T(hl_0),"{0}","442391470376443"),hn_0)</f>
        <v>ОВ</v>
      </c>
      <c r="B63" s="7">
        <v>17000</v>
      </c>
      <c r="C63" s="8" t="s">
        <v>18</v>
      </c>
      <c r="D63" s="8" t="s">
        <v>19</v>
      </c>
      <c r="E63" s="13" t="s">
        <v>20</v>
      </c>
    </row>
    <row r="64" spans="1:5" ht="25.5" x14ac:dyDescent="0.2">
      <c r="A64" s="6" t="str">
        <f>HYPERLINK(SUBSTITUTE(T(hl_0),"{0}","442391283284951"),hn_0)</f>
        <v>ОВ</v>
      </c>
      <c r="B64" s="7">
        <v>42050</v>
      </c>
      <c r="C64" s="8" t="s">
        <v>102</v>
      </c>
      <c r="D64" s="8" t="s">
        <v>11</v>
      </c>
      <c r="E64" s="13" t="s">
        <v>103</v>
      </c>
    </row>
    <row r="65" spans="1:5" ht="25.5" x14ac:dyDescent="0.2">
      <c r="A65" s="6" t="str">
        <f>HYPERLINK(SUBSTITUTE(T(hl_0),"{0}","442391470341032"),hn_0)</f>
        <v>ОВ</v>
      </c>
      <c r="B65" s="7">
        <v>22000</v>
      </c>
      <c r="C65" s="8" t="s">
        <v>51</v>
      </c>
      <c r="D65" s="8" t="s">
        <v>19</v>
      </c>
      <c r="E65" s="13" t="s">
        <v>82</v>
      </c>
    </row>
    <row r="66" spans="1:5" ht="25.5" x14ac:dyDescent="0.2">
      <c r="A66" s="6" t="str">
        <f>HYPERLINK(SUBSTITUTE(T(hl_0),"{0}","442389663984942"),hn_0)</f>
        <v>ОВ</v>
      </c>
      <c r="B66" s="7">
        <v>22000</v>
      </c>
      <c r="C66" s="8" t="s">
        <v>57</v>
      </c>
      <c r="D66" s="8" t="s">
        <v>33</v>
      </c>
      <c r="E66" s="13" t="s">
        <v>104</v>
      </c>
    </row>
    <row r="67" spans="1:5" ht="38.25" x14ac:dyDescent="0.2">
      <c r="A67" s="6" t="str">
        <f>HYPERLINK(SUBSTITUTE(T(hl_0),"{0}","442388541598985"),hn_0)</f>
        <v>ОВ</v>
      </c>
      <c r="B67" s="7">
        <v>8000</v>
      </c>
      <c r="C67" s="8" t="s">
        <v>105</v>
      </c>
      <c r="D67" s="8" t="s">
        <v>25</v>
      </c>
      <c r="E67" s="13" t="s">
        <v>106</v>
      </c>
    </row>
    <row r="68" spans="1:5" ht="25.5" x14ac:dyDescent="0.2">
      <c r="A68" s="6" t="str">
        <f>HYPERLINK(SUBSTITUTE(T(hl_0),"{0}","442385650058588"),hn_0)</f>
        <v>ОВ</v>
      </c>
      <c r="B68" s="7">
        <v>8000</v>
      </c>
      <c r="C68" s="8" t="s">
        <v>107</v>
      </c>
      <c r="D68" s="8" t="s">
        <v>108</v>
      </c>
      <c r="E68" s="13" t="s">
        <v>109</v>
      </c>
    </row>
    <row r="69" spans="1:5" ht="25.5" x14ac:dyDescent="0.2">
      <c r="A69" s="6" t="str">
        <f>HYPERLINK(SUBSTITUTE(T(hl_0),"{0}","442393176173248"),hn_0)</f>
        <v>ОВ</v>
      </c>
      <c r="B69" s="7">
        <v>8000</v>
      </c>
      <c r="C69" s="8" t="s">
        <v>110</v>
      </c>
      <c r="D69" s="8" t="s">
        <v>39</v>
      </c>
      <c r="E69" s="13" t="s">
        <v>111</v>
      </c>
    </row>
    <row r="70" spans="1:5" ht="25.5" x14ac:dyDescent="0.2">
      <c r="A70" s="6" t="str">
        <f>HYPERLINK(SUBSTITUTE(T(hl_0),"{0}","442393371145275"),hn_0)</f>
        <v>ОВ</v>
      </c>
      <c r="B70" s="7">
        <v>13000</v>
      </c>
      <c r="C70" s="8" t="s">
        <v>105</v>
      </c>
      <c r="D70" s="8" t="s">
        <v>11</v>
      </c>
      <c r="E70" s="13" t="s">
        <v>112</v>
      </c>
    </row>
    <row r="71" spans="1:5" ht="25.5" x14ac:dyDescent="0.2">
      <c r="A71" s="6" t="str">
        <f>HYPERLINK(SUBSTITUTE(T(hl_0),"{0}","442393348426795"),hn_0)</f>
        <v>ОВ</v>
      </c>
      <c r="B71" s="7">
        <v>9000</v>
      </c>
      <c r="C71" s="8" t="s">
        <v>113</v>
      </c>
      <c r="D71" s="8" t="s">
        <v>77</v>
      </c>
      <c r="E71" s="13" t="s">
        <v>114</v>
      </c>
    </row>
    <row r="72" spans="1:5" ht="25.5" x14ac:dyDescent="0.2">
      <c r="A72" s="6" t="str">
        <f>HYPERLINK(SUBSTITUTE(T(hl_0),"{0}","442394286116402"),hn_0)</f>
        <v>ОВ</v>
      </c>
      <c r="B72" s="7">
        <v>15000</v>
      </c>
      <c r="C72" s="8" t="s">
        <v>105</v>
      </c>
      <c r="D72" s="8" t="s">
        <v>39</v>
      </c>
      <c r="E72" s="13" t="s">
        <v>115</v>
      </c>
    </row>
    <row r="73" spans="1:5" ht="38.25" x14ac:dyDescent="0.2">
      <c r="A73" s="6" t="str">
        <f>HYPERLINK(SUBSTITUTE(T(hl_0),"{0}","442394286220429"),hn_0)</f>
        <v>ОВ</v>
      </c>
      <c r="B73" s="7">
        <v>12000</v>
      </c>
      <c r="C73" s="8" t="s">
        <v>116</v>
      </c>
      <c r="D73" s="8" t="s">
        <v>39</v>
      </c>
      <c r="E73" s="13" t="s">
        <v>117</v>
      </c>
    </row>
    <row r="74" spans="1:5" ht="25.5" x14ac:dyDescent="0.2">
      <c r="A74" s="6" t="str">
        <f>HYPERLINK(SUBSTITUTE(T(hl_0),"{0}","442393724528161"),hn_0)</f>
        <v>ОВ</v>
      </c>
      <c r="B74" s="7">
        <v>15600</v>
      </c>
      <c r="C74" s="8" t="s">
        <v>118</v>
      </c>
      <c r="D74" s="8" t="s">
        <v>30</v>
      </c>
      <c r="E74" s="13" t="s">
        <v>119</v>
      </c>
    </row>
    <row r="75" spans="1:5" ht="25.5" x14ac:dyDescent="0.2">
      <c r="A75" s="6" t="str">
        <f>HYPERLINK(SUBSTITUTE(T(hl_0),"{0}","442394710052906"),hn_0)</f>
        <v>ОВ</v>
      </c>
      <c r="B75" s="7">
        <v>10000</v>
      </c>
      <c r="C75" s="8" t="s">
        <v>120</v>
      </c>
      <c r="D75" s="8" t="s">
        <v>19</v>
      </c>
      <c r="E75" s="13" t="s">
        <v>121</v>
      </c>
    </row>
    <row r="76" spans="1:5" ht="25.5" x14ac:dyDescent="0.2">
      <c r="A76" s="6" t="str">
        <f>HYPERLINK(SUBSTITUTE(T(hl_0),"{0}","442391283284633"),hn_0)</f>
        <v>ОВ</v>
      </c>
      <c r="B76" s="7">
        <v>42050</v>
      </c>
      <c r="C76" s="8" t="s">
        <v>102</v>
      </c>
      <c r="D76" s="8" t="s">
        <v>11</v>
      </c>
      <c r="E76" s="13" t="s">
        <v>103</v>
      </c>
    </row>
    <row r="77" spans="1:5" ht="25.5" x14ac:dyDescent="0.2">
      <c r="A77" s="6" t="str">
        <f>HYPERLINK(SUBSTITUTE(T(hl_0),"{0}","442392721628483"),hn_0)</f>
        <v>ОВ</v>
      </c>
      <c r="B77" s="7">
        <v>14700</v>
      </c>
      <c r="C77" s="8" t="s">
        <v>10</v>
      </c>
      <c r="D77" s="8" t="s">
        <v>39</v>
      </c>
      <c r="E77" s="13" t="s">
        <v>94</v>
      </c>
    </row>
    <row r="78" spans="1:5" ht="25.5" x14ac:dyDescent="0.2">
      <c r="A78" s="6" t="str">
        <f>HYPERLINK(SUBSTITUTE(T(hl_0),"{0}","442392720961467"),hn_0)</f>
        <v>ОВ</v>
      </c>
      <c r="B78" s="7">
        <v>18800</v>
      </c>
      <c r="C78" s="8" t="s">
        <v>122</v>
      </c>
      <c r="D78" s="8" t="s">
        <v>39</v>
      </c>
      <c r="E78" s="13" t="s">
        <v>123</v>
      </c>
    </row>
    <row r="79" spans="1:5" ht="25.5" x14ac:dyDescent="0.2">
      <c r="A79" s="6" t="str">
        <f>HYPERLINK(SUBSTITUTE(T(hl_0),"{0}","442391435672313"),hn_0)</f>
        <v>ОВ</v>
      </c>
      <c r="B79" s="7">
        <v>20160</v>
      </c>
      <c r="C79" s="8" t="s">
        <v>69</v>
      </c>
      <c r="D79" s="8" t="s">
        <v>70</v>
      </c>
      <c r="E79" s="13" t="s">
        <v>71</v>
      </c>
    </row>
    <row r="80" spans="1:5" ht="25.5" x14ac:dyDescent="0.2">
      <c r="A80" s="6" t="str">
        <f>HYPERLINK(SUBSTITUTE(T(hl_0),"{0}","442391435842465"),hn_0)</f>
        <v>ОВ</v>
      </c>
      <c r="B80" s="7">
        <v>17000</v>
      </c>
      <c r="C80" s="8" t="s">
        <v>122</v>
      </c>
      <c r="D80" s="8" t="s">
        <v>70</v>
      </c>
      <c r="E80" s="13" t="s">
        <v>124</v>
      </c>
    </row>
    <row r="81" spans="1:5" ht="25.5" x14ac:dyDescent="0.2">
      <c r="A81" s="6" t="str">
        <f>HYPERLINK(SUBSTITUTE(T(hl_0),"{0}","442392720455776"),hn_0)</f>
        <v>ОВ</v>
      </c>
      <c r="B81" s="7">
        <v>14700</v>
      </c>
      <c r="C81" s="8" t="s">
        <v>97</v>
      </c>
      <c r="D81" s="8" t="s">
        <v>39</v>
      </c>
      <c r="E81" s="13" t="s">
        <v>98</v>
      </c>
    </row>
    <row r="82" spans="1:5" ht="25.5" x14ac:dyDescent="0.2">
      <c r="A82" s="6" t="str">
        <f>HYPERLINK(SUBSTITUTE(T(hl_0),"{0}","442390310582871"),hn_0)</f>
        <v>ОВ</v>
      </c>
      <c r="B82" s="7">
        <v>8585</v>
      </c>
      <c r="C82" s="8" t="s">
        <v>125</v>
      </c>
      <c r="D82" s="8" t="s">
        <v>25</v>
      </c>
      <c r="E82" s="13" t="s">
        <v>126</v>
      </c>
    </row>
    <row r="83" spans="1:5" ht="25.5" x14ac:dyDescent="0.2">
      <c r="A83" s="6" t="str">
        <f>HYPERLINK(SUBSTITUTE(T(hl_0),"{0}","442391284161144"),hn_0)</f>
        <v>ОВ</v>
      </c>
      <c r="B83" s="7">
        <v>23845</v>
      </c>
      <c r="C83" s="8" t="s">
        <v>127</v>
      </c>
      <c r="D83" s="8" t="s">
        <v>11</v>
      </c>
      <c r="E83" s="13" t="s">
        <v>128</v>
      </c>
    </row>
    <row r="84" spans="1:5" ht="25.5" x14ac:dyDescent="0.2">
      <c r="A84" s="6" t="str">
        <f>HYPERLINK(SUBSTITUTE(T(hl_0),"{0}","442391142187663"),hn_0)</f>
        <v>ОВ</v>
      </c>
      <c r="B84" s="7">
        <v>18000</v>
      </c>
      <c r="C84" s="8" t="s">
        <v>21</v>
      </c>
      <c r="D84" s="8" t="s">
        <v>11</v>
      </c>
      <c r="E84" s="13" t="s">
        <v>22</v>
      </c>
    </row>
    <row r="85" spans="1:5" ht="25.5" x14ac:dyDescent="0.2">
      <c r="A85" s="6" t="str">
        <f>HYPERLINK(SUBSTITUTE(T(hl_0),"{0}","442391283283910"),hn_0)</f>
        <v>ОВ</v>
      </c>
      <c r="B85" s="7">
        <v>42050</v>
      </c>
      <c r="C85" s="8" t="s">
        <v>102</v>
      </c>
      <c r="D85" s="8" t="s">
        <v>11</v>
      </c>
      <c r="E85" s="13" t="s">
        <v>103</v>
      </c>
    </row>
    <row r="86" spans="1:5" ht="25.5" x14ac:dyDescent="0.2">
      <c r="A86" s="6" t="str">
        <f>HYPERLINK(SUBSTITUTE(T(hl_0),"{0}","442392384346244"),hn_0)</f>
        <v>ОВ</v>
      </c>
      <c r="B86" s="7">
        <v>25000</v>
      </c>
      <c r="C86" s="8" t="s">
        <v>129</v>
      </c>
      <c r="D86" s="8" t="s">
        <v>25</v>
      </c>
      <c r="E86" s="13" t="s">
        <v>130</v>
      </c>
    </row>
    <row r="87" spans="1:5" ht="25.5" x14ac:dyDescent="0.2">
      <c r="A87" s="6" t="str">
        <f>HYPERLINK(SUBSTITUTE(T(hl_0),"{0}","442391470384450"),hn_0)</f>
        <v>ОВ</v>
      </c>
      <c r="B87" s="7">
        <v>15000</v>
      </c>
      <c r="C87" s="8" t="s">
        <v>131</v>
      </c>
      <c r="D87" s="8" t="s">
        <v>19</v>
      </c>
      <c r="E87" s="13" t="s">
        <v>132</v>
      </c>
    </row>
    <row r="88" spans="1:5" ht="25.5" x14ac:dyDescent="0.2">
      <c r="A88" s="6" t="str">
        <f>HYPERLINK(SUBSTITUTE(T(hl_0),"{0}","442386895970898"),hn_0)</f>
        <v>ОВ</v>
      </c>
      <c r="B88" s="7">
        <v>8000</v>
      </c>
      <c r="C88" s="8" t="s">
        <v>133</v>
      </c>
      <c r="D88" s="8" t="s">
        <v>25</v>
      </c>
      <c r="E88" s="13" t="s">
        <v>134</v>
      </c>
    </row>
    <row r="89" spans="1:5" ht="38.25" x14ac:dyDescent="0.2">
      <c r="A89" s="6" t="str">
        <f>HYPERLINK(SUBSTITUTE(T(hl_0),"{0}","442388541433254"),hn_0)</f>
        <v>ОВ</v>
      </c>
      <c r="B89" s="7">
        <v>15991.92</v>
      </c>
      <c r="C89" s="8" t="s">
        <v>18</v>
      </c>
      <c r="D89" s="8" t="s">
        <v>25</v>
      </c>
      <c r="E89" s="13" t="s">
        <v>35</v>
      </c>
    </row>
    <row r="90" spans="1:5" ht="25.5" x14ac:dyDescent="0.2">
      <c r="A90" s="6" t="str">
        <f>HYPERLINK(SUBSTITUTE(T(hl_0),"{0}","442386197163634"),hn_0)</f>
        <v>ОВ</v>
      </c>
      <c r="B90" s="7">
        <v>8350.57</v>
      </c>
      <c r="C90" s="8" t="s">
        <v>135</v>
      </c>
      <c r="D90" s="8" t="s">
        <v>11</v>
      </c>
      <c r="E90" s="13" t="s">
        <v>136</v>
      </c>
    </row>
    <row r="91" spans="1:5" ht="38.25" x14ac:dyDescent="0.2">
      <c r="A91" s="6" t="str">
        <f>HYPERLINK(SUBSTITUTE(T(hl_0),"{0}","442393529792915"),hn_0)</f>
        <v>ОВ</v>
      </c>
      <c r="B91" s="7">
        <v>9000</v>
      </c>
      <c r="C91" s="8" t="s">
        <v>137</v>
      </c>
      <c r="D91" s="8" t="s">
        <v>138</v>
      </c>
      <c r="E91" s="13" t="s">
        <v>139</v>
      </c>
    </row>
    <row r="92" spans="1:5" ht="38.25" x14ac:dyDescent="0.2">
      <c r="A92" s="6" t="str">
        <f>HYPERLINK(SUBSTITUTE(T(hl_0),"{0}","442395069172685"),hn_0)</f>
        <v>ОВ</v>
      </c>
      <c r="B92" s="7">
        <v>22525</v>
      </c>
      <c r="C92" s="8" t="s">
        <v>18</v>
      </c>
      <c r="D92" s="8" t="s">
        <v>11</v>
      </c>
      <c r="E92" s="13" t="s">
        <v>140</v>
      </c>
    </row>
    <row r="93" spans="1:5" ht="25.5" x14ac:dyDescent="0.2">
      <c r="A93" s="6" t="str">
        <f>HYPERLINK(SUBSTITUTE(T(hl_0),"{0}","442393905109533"),hn_0)</f>
        <v>ОВ</v>
      </c>
      <c r="B93" s="7">
        <v>14000</v>
      </c>
      <c r="C93" s="8" t="s">
        <v>141</v>
      </c>
      <c r="D93" s="8" t="s">
        <v>11</v>
      </c>
      <c r="E93" s="13" t="s">
        <v>142</v>
      </c>
    </row>
    <row r="94" spans="1:5" ht="25.5" x14ac:dyDescent="0.2">
      <c r="A94" s="6" t="str">
        <f>HYPERLINK(SUBSTITUTE(T(hl_0),"{0}","442393529269465"),hn_0)</f>
        <v>ОВ</v>
      </c>
      <c r="B94" s="7">
        <v>8050</v>
      </c>
      <c r="C94" s="8" t="s">
        <v>143</v>
      </c>
      <c r="D94" s="8" t="s">
        <v>33</v>
      </c>
      <c r="E94" s="13" t="s">
        <v>144</v>
      </c>
    </row>
    <row r="95" spans="1:5" ht="25.5" x14ac:dyDescent="0.2">
      <c r="A95" s="6" t="str">
        <f>HYPERLINK(SUBSTITUTE(T(hl_0),"{0}","442391470306851"),hn_0)</f>
        <v>ОВ</v>
      </c>
      <c r="B95" s="7">
        <v>25000</v>
      </c>
      <c r="C95" s="8" t="s">
        <v>13</v>
      </c>
      <c r="D95" s="8" t="s">
        <v>19</v>
      </c>
      <c r="E95" s="13" t="s">
        <v>93</v>
      </c>
    </row>
    <row r="96" spans="1:5" ht="25.5" x14ac:dyDescent="0.2">
      <c r="A96" s="6" t="str">
        <f>HYPERLINK(SUBSTITUTE(T(hl_0),"{0}","442390375316877"),hn_0)</f>
        <v>ОВ</v>
      </c>
      <c r="B96" s="7">
        <v>9000</v>
      </c>
      <c r="C96" s="8" t="s">
        <v>145</v>
      </c>
      <c r="D96" s="8" t="s">
        <v>77</v>
      </c>
      <c r="E96" s="13" t="s">
        <v>146</v>
      </c>
    </row>
    <row r="97" spans="1:5" ht="25.5" x14ac:dyDescent="0.2">
      <c r="A97" s="6" t="str">
        <f>HYPERLINK(SUBSTITUTE(T(hl_0),"{0}","442392544632648"),hn_0)</f>
        <v>ОВ</v>
      </c>
      <c r="B97" s="7">
        <v>8900</v>
      </c>
      <c r="C97" s="8" t="s">
        <v>76</v>
      </c>
      <c r="D97" s="8" t="s">
        <v>11</v>
      </c>
      <c r="E97" s="13" t="s">
        <v>147</v>
      </c>
    </row>
    <row r="98" spans="1:5" ht="25.5" x14ac:dyDescent="0.2">
      <c r="A98" s="6" t="str">
        <f>HYPERLINK(SUBSTITUTE(T(hl_0),"{0}","442392384371862"),hn_0)</f>
        <v>ОВ</v>
      </c>
      <c r="B98" s="7">
        <v>23000</v>
      </c>
      <c r="C98" s="8" t="s">
        <v>18</v>
      </c>
      <c r="D98" s="8" t="s">
        <v>25</v>
      </c>
      <c r="E98" s="13" t="s">
        <v>26</v>
      </c>
    </row>
    <row r="99" spans="1:5" ht="25.5" x14ac:dyDescent="0.2">
      <c r="A99" s="6" t="str">
        <f>HYPERLINK(SUBSTITUTE(T(hl_0),"{0}","442391142188397"),hn_0)</f>
        <v>ОВ</v>
      </c>
      <c r="B99" s="7">
        <v>18000</v>
      </c>
      <c r="C99" s="8" t="s">
        <v>21</v>
      </c>
      <c r="D99" s="8" t="s">
        <v>11</v>
      </c>
      <c r="E99" s="13" t="s">
        <v>22</v>
      </c>
    </row>
    <row r="100" spans="1:5" ht="25.5" x14ac:dyDescent="0.2">
      <c r="A100" s="6" t="str">
        <f>HYPERLINK(SUBSTITUTE(T(hl_0),"{0}","442391283327677"),hn_0)</f>
        <v>ОВ</v>
      </c>
      <c r="B100" s="7">
        <v>39940</v>
      </c>
      <c r="C100" s="8" t="s">
        <v>13</v>
      </c>
      <c r="D100" s="8" t="s">
        <v>11</v>
      </c>
      <c r="E100" s="13" t="s">
        <v>14</v>
      </c>
    </row>
    <row r="101" spans="1:5" ht="25.5" x14ac:dyDescent="0.2">
      <c r="A101" s="6" t="str">
        <f>HYPERLINK(SUBSTITUTE(T(hl_0),"{0}","442391283502145"),hn_0)</f>
        <v>ОВ</v>
      </c>
      <c r="B101" s="7">
        <v>29060</v>
      </c>
      <c r="C101" s="8" t="s">
        <v>51</v>
      </c>
      <c r="D101" s="8" t="s">
        <v>11</v>
      </c>
      <c r="E101" s="13" t="s">
        <v>52</v>
      </c>
    </row>
    <row r="102" spans="1:5" ht="25.5" x14ac:dyDescent="0.2">
      <c r="A102" s="6" t="str">
        <f>HYPERLINK(SUBSTITUTE(T(hl_0),"{0}","442391283502340"),hn_0)</f>
        <v>ОВ</v>
      </c>
      <c r="B102" s="7">
        <v>29060</v>
      </c>
      <c r="C102" s="8" t="s">
        <v>51</v>
      </c>
      <c r="D102" s="8" t="s">
        <v>11</v>
      </c>
      <c r="E102" s="13" t="s">
        <v>52</v>
      </c>
    </row>
    <row r="103" spans="1:5" ht="25.5" x14ac:dyDescent="0.2">
      <c r="A103" s="6" t="str">
        <f>HYPERLINK(SUBSTITUTE(T(hl_0),"{0}","442391283306901"),hn_0)</f>
        <v>ОВ</v>
      </c>
      <c r="B103" s="7">
        <v>39940</v>
      </c>
      <c r="C103" s="8" t="s">
        <v>13</v>
      </c>
      <c r="D103" s="8" t="s">
        <v>11</v>
      </c>
      <c r="E103" s="13" t="s">
        <v>14</v>
      </c>
    </row>
    <row r="104" spans="1:5" ht="25.5" x14ac:dyDescent="0.2">
      <c r="A104" s="6" t="str">
        <f>HYPERLINK(SUBSTITUTE(T(hl_0),"{0}","442391248696269"),hn_0)</f>
        <v>ОВ</v>
      </c>
      <c r="B104" s="7">
        <v>19986</v>
      </c>
      <c r="C104" s="8" t="s">
        <v>148</v>
      </c>
      <c r="D104" s="8" t="s">
        <v>11</v>
      </c>
      <c r="E104" s="13" t="s">
        <v>149</v>
      </c>
    </row>
    <row r="105" spans="1:5" ht="25.5" x14ac:dyDescent="0.2">
      <c r="A105" s="6" t="str">
        <f>HYPERLINK(SUBSTITUTE(T(hl_0),"{0}","442392721192920"),hn_0)</f>
        <v>ОВ</v>
      </c>
      <c r="B105" s="7">
        <v>18800</v>
      </c>
      <c r="C105" s="8" t="s">
        <v>10</v>
      </c>
      <c r="D105" s="8" t="s">
        <v>39</v>
      </c>
      <c r="E105" s="13" t="s">
        <v>94</v>
      </c>
    </row>
    <row r="106" spans="1:5" ht="25.5" x14ac:dyDescent="0.2">
      <c r="A106" s="6" t="str">
        <f>HYPERLINK(SUBSTITUTE(T(hl_0),"{0}","442391283305659"),hn_0)</f>
        <v>ОВ</v>
      </c>
      <c r="B106" s="7">
        <v>39940</v>
      </c>
      <c r="C106" s="8" t="s">
        <v>13</v>
      </c>
      <c r="D106" s="8" t="s">
        <v>11</v>
      </c>
      <c r="E106" s="13" t="s">
        <v>14</v>
      </c>
    </row>
    <row r="107" spans="1:5" ht="25.5" x14ac:dyDescent="0.2">
      <c r="A107" s="6" t="str">
        <f>HYPERLINK(SUBSTITUTE(T(hl_0),"{0}","442389800877017"),hn_0)</f>
        <v>ОВ</v>
      </c>
      <c r="B107" s="7">
        <v>9100</v>
      </c>
      <c r="C107" s="8" t="s">
        <v>76</v>
      </c>
      <c r="D107" s="8" t="s">
        <v>77</v>
      </c>
      <c r="E107" s="13" t="s">
        <v>78</v>
      </c>
    </row>
    <row r="108" spans="1:5" ht="25.5" x14ac:dyDescent="0.2">
      <c r="A108" s="6" t="str">
        <f>HYPERLINK(SUBSTITUTE(T(hl_0),"{0}","442388947519417"),hn_0)</f>
        <v>ОВ</v>
      </c>
      <c r="B108" s="7">
        <v>9400</v>
      </c>
      <c r="C108" s="8" t="s">
        <v>150</v>
      </c>
      <c r="D108" s="8" t="s">
        <v>11</v>
      </c>
      <c r="E108" s="13" t="s">
        <v>151</v>
      </c>
    </row>
    <row r="109" spans="1:5" ht="25.5" x14ac:dyDescent="0.2">
      <c r="A109" s="6" t="str">
        <f>HYPERLINK(SUBSTITUTE(T(hl_0),"{0}","442386197329794"),hn_0)</f>
        <v>ОВ</v>
      </c>
      <c r="B109" s="7">
        <v>8059.13</v>
      </c>
      <c r="C109" s="8" t="s">
        <v>76</v>
      </c>
      <c r="D109" s="8" t="s">
        <v>11</v>
      </c>
      <c r="E109" s="13" t="s">
        <v>152</v>
      </c>
    </row>
    <row r="110" spans="1:5" ht="25.5" x14ac:dyDescent="0.2">
      <c r="A110" s="6" t="str">
        <f>HYPERLINK(SUBSTITUTE(T(hl_0),"{0}","442395502871434"),hn_0)</f>
        <v>ОВ</v>
      </c>
      <c r="B110" s="7">
        <v>8800</v>
      </c>
      <c r="C110" s="8" t="s">
        <v>153</v>
      </c>
      <c r="D110" s="8" t="s">
        <v>11</v>
      </c>
      <c r="E110" s="13" t="s">
        <v>154</v>
      </c>
    </row>
    <row r="111" spans="1:5" ht="25.5" x14ac:dyDescent="0.2">
      <c r="A111" s="6" t="str">
        <f>HYPERLINK(SUBSTITUTE(T(hl_0),"{0}","442393905135289"),hn_0)</f>
        <v>ОВ</v>
      </c>
      <c r="B111" s="7">
        <v>8667</v>
      </c>
      <c r="C111" s="8" t="s">
        <v>15</v>
      </c>
      <c r="D111" s="8" t="s">
        <v>11</v>
      </c>
      <c r="E111" s="13" t="s">
        <v>155</v>
      </c>
    </row>
    <row r="112" spans="1:5" ht="25.5" x14ac:dyDescent="0.2">
      <c r="A112" s="6" t="str">
        <f>HYPERLINK(SUBSTITUTE(T(hl_0),"{0}","442393876723629"),hn_0)</f>
        <v>ОВ</v>
      </c>
      <c r="B112" s="7">
        <v>8000</v>
      </c>
      <c r="C112" s="8" t="s">
        <v>15</v>
      </c>
      <c r="D112" s="8" t="s">
        <v>77</v>
      </c>
      <c r="E112" s="13" t="s">
        <v>156</v>
      </c>
    </row>
    <row r="113" spans="1:5" ht="25.5" x14ac:dyDescent="0.2">
      <c r="A113" s="6" t="str">
        <f>HYPERLINK(SUBSTITUTE(T(hl_0),"{0}","442394534958004"),hn_0)</f>
        <v>ОВ</v>
      </c>
      <c r="B113" s="7">
        <v>8450</v>
      </c>
      <c r="C113" s="8" t="s">
        <v>137</v>
      </c>
      <c r="D113" s="8" t="s">
        <v>11</v>
      </c>
      <c r="E113" s="13" t="s">
        <v>157</v>
      </c>
    </row>
    <row r="114" spans="1:5" ht="25.5" x14ac:dyDescent="0.2">
      <c r="A114" s="6" t="str">
        <f>HYPERLINK(SUBSTITUTE(T(hl_0),"{0}","442393905061442"),hn_0)</f>
        <v>ОВ</v>
      </c>
      <c r="B114" s="7">
        <v>8667</v>
      </c>
      <c r="C114" s="8" t="s">
        <v>43</v>
      </c>
      <c r="D114" s="8" t="s">
        <v>11</v>
      </c>
      <c r="E114" s="13" t="s">
        <v>44</v>
      </c>
    </row>
    <row r="115" spans="1:5" ht="25.5" x14ac:dyDescent="0.2">
      <c r="A115" s="6" t="str">
        <f>HYPERLINK(SUBSTITUTE(T(hl_0),"{0}","442391284015016"),hn_0)</f>
        <v>ОВ</v>
      </c>
      <c r="B115" s="7">
        <v>23845</v>
      </c>
      <c r="C115" s="8" t="s">
        <v>91</v>
      </c>
      <c r="D115" s="8" t="s">
        <v>11</v>
      </c>
      <c r="E115" s="13" t="s">
        <v>92</v>
      </c>
    </row>
    <row r="116" spans="1:5" ht="25.5" x14ac:dyDescent="0.2">
      <c r="A116" s="6" t="str">
        <f>HYPERLINK(SUBSTITUTE(T(hl_0),"{0}","442392094077491"),hn_0)</f>
        <v>ОВ</v>
      </c>
      <c r="B116" s="7">
        <v>15000</v>
      </c>
      <c r="C116" s="8" t="s">
        <v>66</v>
      </c>
      <c r="D116" s="8" t="s">
        <v>67</v>
      </c>
      <c r="E116" s="13" t="s">
        <v>68</v>
      </c>
    </row>
    <row r="117" spans="1:5" ht="25.5" x14ac:dyDescent="0.2">
      <c r="A117" s="6" t="str">
        <f>HYPERLINK(SUBSTITUTE(T(hl_0),"{0}","442392721192892"),hn_0)</f>
        <v>ОВ</v>
      </c>
      <c r="B117" s="7">
        <v>18800</v>
      </c>
      <c r="C117" s="8" t="s">
        <v>10</v>
      </c>
      <c r="D117" s="8" t="s">
        <v>39</v>
      </c>
      <c r="E117" s="13" t="s">
        <v>94</v>
      </c>
    </row>
    <row r="118" spans="1:5" ht="25.5" x14ac:dyDescent="0.2">
      <c r="A118" s="6" t="str">
        <f>HYPERLINK(SUBSTITUTE(T(hl_0),"{0}","442391283284488"),hn_0)</f>
        <v>ОВ</v>
      </c>
      <c r="B118" s="7">
        <v>42050</v>
      </c>
      <c r="C118" s="8" t="s">
        <v>102</v>
      </c>
      <c r="D118" s="8" t="s">
        <v>11</v>
      </c>
      <c r="E118" s="13" t="s">
        <v>103</v>
      </c>
    </row>
    <row r="119" spans="1:5" ht="25.5" x14ac:dyDescent="0.2">
      <c r="A119" s="6" t="str">
        <f>HYPERLINK(SUBSTITUTE(T(hl_0),"{0}","442391470306753"),hn_0)</f>
        <v>ОВ</v>
      </c>
      <c r="B119" s="7">
        <v>25000</v>
      </c>
      <c r="C119" s="8" t="s">
        <v>13</v>
      </c>
      <c r="D119" s="8" t="s">
        <v>19</v>
      </c>
      <c r="E119" s="13" t="s">
        <v>93</v>
      </c>
    </row>
    <row r="120" spans="1:5" ht="25.5" x14ac:dyDescent="0.2">
      <c r="A120" s="6" t="str">
        <f>HYPERLINK(SUBSTITUTE(T(hl_0),"{0}","442391470319566"),hn_0)</f>
        <v>ОВ</v>
      </c>
      <c r="B120" s="7">
        <v>15000</v>
      </c>
      <c r="C120" s="8" t="s">
        <v>91</v>
      </c>
      <c r="D120" s="8" t="s">
        <v>19</v>
      </c>
      <c r="E120" s="13" t="s">
        <v>158</v>
      </c>
    </row>
    <row r="121" spans="1:5" ht="25.5" x14ac:dyDescent="0.2">
      <c r="A121" s="6" t="str">
        <f>HYPERLINK(SUBSTITUTE(T(hl_0),"{0}","442389663874630"),hn_0)</f>
        <v>ОВ</v>
      </c>
      <c r="B121" s="7">
        <v>13900</v>
      </c>
      <c r="C121" s="8" t="s">
        <v>51</v>
      </c>
      <c r="D121" s="8" t="s">
        <v>11</v>
      </c>
      <c r="E121" s="13" t="s">
        <v>159</v>
      </c>
    </row>
    <row r="122" spans="1:5" ht="25.5" x14ac:dyDescent="0.2">
      <c r="A122" s="6" t="str">
        <f>HYPERLINK(SUBSTITUTE(T(hl_0),"{0}","442385430480531"),hn_0)</f>
        <v>ОВ</v>
      </c>
      <c r="B122" s="7">
        <v>8000</v>
      </c>
      <c r="C122" s="8" t="s">
        <v>160</v>
      </c>
      <c r="D122" s="8" t="s">
        <v>108</v>
      </c>
      <c r="E122" s="13" t="s">
        <v>161</v>
      </c>
    </row>
    <row r="123" spans="1:5" ht="25.5" x14ac:dyDescent="0.2">
      <c r="A123" s="6" t="str">
        <f>HYPERLINK(SUBSTITUTE(T(hl_0),"{0}","442395313890810"),hn_0)</f>
        <v>ОВ</v>
      </c>
      <c r="B123" s="7">
        <v>8500</v>
      </c>
      <c r="C123" s="8" t="s">
        <v>21</v>
      </c>
      <c r="D123" s="8" t="s">
        <v>11</v>
      </c>
      <c r="E123" s="13" t="s">
        <v>162</v>
      </c>
    </row>
    <row r="124" spans="1:5" ht="25.5" x14ac:dyDescent="0.2">
      <c r="A124" s="6" t="str">
        <f>HYPERLINK(SUBSTITUTE(T(hl_0),"{0}","442393905212299"),hn_0)</f>
        <v>ОВ</v>
      </c>
      <c r="B124" s="7">
        <v>14000</v>
      </c>
      <c r="C124" s="8" t="s">
        <v>89</v>
      </c>
      <c r="D124" s="8" t="s">
        <v>11</v>
      </c>
      <c r="E124" s="13" t="s">
        <v>90</v>
      </c>
    </row>
    <row r="125" spans="1:5" ht="25.5" x14ac:dyDescent="0.2">
      <c r="A125" s="6" t="str">
        <f>HYPERLINK(SUBSTITUTE(T(hl_0),"{0}","442393175235394"),hn_0)</f>
        <v>ОВ</v>
      </c>
      <c r="B125" s="7">
        <v>17500</v>
      </c>
      <c r="C125" s="8" t="s">
        <v>133</v>
      </c>
      <c r="D125" s="8" t="s">
        <v>77</v>
      </c>
      <c r="E125" s="13" t="s">
        <v>163</v>
      </c>
    </row>
    <row r="126" spans="1:5" ht="25.5" x14ac:dyDescent="0.2">
      <c r="A126" s="6" t="str">
        <f>HYPERLINK(SUBSTITUTE(T(hl_0),"{0}","442393905117652"),hn_0)</f>
        <v>ОВ</v>
      </c>
      <c r="B126" s="7">
        <v>14000</v>
      </c>
      <c r="C126" s="8" t="s">
        <v>45</v>
      </c>
      <c r="D126" s="8" t="s">
        <v>11</v>
      </c>
      <c r="E126" s="13" t="s">
        <v>46</v>
      </c>
    </row>
    <row r="127" spans="1:5" ht="25.5" x14ac:dyDescent="0.2">
      <c r="A127" s="6" t="str">
        <f>HYPERLINK(SUBSTITUTE(T(hl_0),"{0}","442391283311730"),hn_0)</f>
        <v>ОВ</v>
      </c>
      <c r="B127" s="7">
        <v>39940</v>
      </c>
      <c r="C127" s="8" t="s">
        <v>13</v>
      </c>
      <c r="D127" s="8" t="s">
        <v>11</v>
      </c>
      <c r="E127" s="13" t="s">
        <v>14</v>
      </c>
    </row>
    <row r="128" spans="1:5" ht="25.5" x14ac:dyDescent="0.2">
      <c r="A128" s="6" t="str">
        <f>HYPERLINK(SUBSTITUTE(T(hl_0),"{0}","442391470376522"),hn_0)</f>
        <v>ОВ</v>
      </c>
      <c r="B128" s="7">
        <v>17000</v>
      </c>
      <c r="C128" s="8" t="s">
        <v>18</v>
      </c>
      <c r="D128" s="8" t="s">
        <v>19</v>
      </c>
      <c r="E128" s="13" t="s">
        <v>20</v>
      </c>
    </row>
    <row r="129" spans="1:5" ht="25.5" x14ac:dyDescent="0.2">
      <c r="A129" s="6" t="str">
        <f>HYPERLINK(SUBSTITUTE(T(hl_0),"{0}","442390287835024"),hn_0)</f>
        <v>ОВ</v>
      </c>
      <c r="B129" s="7">
        <v>12000</v>
      </c>
      <c r="C129" s="8" t="s">
        <v>15</v>
      </c>
      <c r="D129" s="8" t="s">
        <v>11</v>
      </c>
      <c r="E129" s="13" t="s">
        <v>50</v>
      </c>
    </row>
    <row r="130" spans="1:5" ht="25.5" x14ac:dyDescent="0.2">
      <c r="A130" s="6" t="str">
        <f>HYPERLINK(SUBSTITUTE(T(hl_0),"{0}","442391435688147"),hn_0)</f>
        <v>ОВ</v>
      </c>
      <c r="B130" s="7">
        <v>20160</v>
      </c>
      <c r="C130" s="8" t="s">
        <v>69</v>
      </c>
      <c r="D130" s="8" t="s">
        <v>70</v>
      </c>
      <c r="E130" s="13" t="s">
        <v>71</v>
      </c>
    </row>
    <row r="131" spans="1:5" ht="25.5" x14ac:dyDescent="0.2">
      <c r="A131" s="6" t="str">
        <f>HYPERLINK(SUBSTITUTE(T(hl_0),"{0}","442391142188130"),hn_0)</f>
        <v>ОВ</v>
      </c>
      <c r="B131" s="7">
        <v>18000</v>
      </c>
      <c r="C131" s="8" t="s">
        <v>21</v>
      </c>
      <c r="D131" s="8" t="s">
        <v>11</v>
      </c>
      <c r="E131" s="13" t="s">
        <v>22</v>
      </c>
    </row>
    <row r="132" spans="1:5" ht="25.5" x14ac:dyDescent="0.2">
      <c r="A132" s="6" t="str">
        <f>HYPERLINK(SUBSTITUTE(T(hl_0),"{0}","442392545484114"),hn_0)</f>
        <v>ОВ</v>
      </c>
      <c r="B132" s="7">
        <v>8140</v>
      </c>
      <c r="C132" s="8" t="s">
        <v>164</v>
      </c>
      <c r="D132" s="8" t="s">
        <v>11</v>
      </c>
      <c r="E132" s="13" t="s">
        <v>165</v>
      </c>
    </row>
    <row r="133" spans="1:5" ht="25.5" x14ac:dyDescent="0.2">
      <c r="A133" s="6" t="str">
        <f>HYPERLINK(SUBSTITUTE(T(hl_0),"{0}","442391283499699"),hn_0)</f>
        <v>ОВ</v>
      </c>
      <c r="B133" s="7">
        <v>29060</v>
      </c>
      <c r="C133" s="8" t="s">
        <v>51</v>
      </c>
      <c r="D133" s="8" t="s">
        <v>11</v>
      </c>
      <c r="E133" s="13" t="s">
        <v>52</v>
      </c>
    </row>
    <row r="134" spans="1:5" ht="25.5" x14ac:dyDescent="0.2">
      <c r="A134" s="6" t="str">
        <f>HYPERLINK(SUBSTITUTE(T(hl_0),"{0}","442392721194628"),hn_0)</f>
        <v>ОВ</v>
      </c>
      <c r="B134" s="7">
        <v>16400</v>
      </c>
      <c r="C134" s="8" t="s">
        <v>10</v>
      </c>
      <c r="D134" s="8" t="s">
        <v>39</v>
      </c>
      <c r="E134" s="13" t="s">
        <v>49</v>
      </c>
    </row>
    <row r="135" spans="1:5" ht="25.5" x14ac:dyDescent="0.2">
      <c r="A135" s="6" t="str">
        <f>HYPERLINK(SUBSTITUTE(T(hl_0),"{0}","442391283306235"),hn_0)</f>
        <v>ОВ</v>
      </c>
      <c r="B135" s="7">
        <v>39940</v>
      </c>
      <c r="C135" s="8" t="s">
        <v>13</v>
      </c>
      <c r="D135" s="8" t="s">
        <v>11</v>
      </c>
      <c r="E135" s="13" t="s">
        <v>14</v>
      </c>
    </row>
    <row r="136" spans="1:5" ht="25.5" x14ac:dyDescent="0.2">
      <c r="A136" s="6" t="str">
        <f>HYPERLINK(SUBSTITUTE(T(hl_0),"{0}","442392384371688"),hn_0)</f>
        <v>ОВ</v>
      </c>
      <c r="B136" s="7">
        <v>23000</v>
      </c>
      <c r="C136" s="8" t="s">
        <v>18</v>
      </c>
      <c r="D136" s="8" t="s">
        <v>25</v>
      </c>
      <c r="E136" s="13" t="s">
        <v>26</v>
      </c>
    </row>
    <row r="137" spans="1:5" ht="25.5" x14ac:dyDescent="0.2">
      <c r="A137" s="6" t="str">
        <f>HYPERLINK(SUBSTITUTE(T(hl_0),"{0}","442391284014895"),hn_0)</f>
        <v>ОВ</v>
      </c>
      <c r="B137" s="7">
        <v>23845</v>
      </c>
      <c r="C137" s="8" t="s">
        <v>91</v>
      </c>
      <c r="D137" s="8" t="s">
        <v>11</v>
      </c>
      <c r="E137" s="13" t="s">
        <v>92</v>
      </c>
    </row>
    <row r="138" spans="1:5" ht="25.5" x14ac:dyDescent="0.2">
      <c r="A138" s="6" t="str">
        <f>HYPERLINK(SUBSTITUTE(T(hl_0),"{0}","442390729948776"),hn_0)</f>
        <v>ОВ</v>
      </c>
      <c r="B138" s="7">
        <v>9500</v>
      </c>
      <c r="C138" s="8" t="s">
        <v>166</v>
      </c>
      <c r="D138" s="8" t="s">
        <v>19</v>
      </c>
      <c r="E138" s="13" t="s">
        <v>167</v>
      </c>
    </row>
    <row r="139" spans="1:5" ht="25.5" x14ac:dyDescent="0.2">
      <c r="A139" s="6" t="str">
        <f>HYPERLINK(SUBSTITUTE(T(hl_0),"{0}","442392721194664"),hn_0)</f>
        <v>ОВ</v>
      </c>
      <c r="B139" s="7">
        <v>16400</v>
      </c>
      <c r="C139" s="8" t="s">
        <v>10</v>
      </c>
      <c r="D139" s="8" t="s">
        <v>39</v>
      </c>
      <c r="E139" s="13" t="s">
        <v>49</v>
      </c>
    </row>
    <row r="140" spans="1:5" ht="25.5" x14ac:dyDescent="0.2">
      <c r="A140" s="6" t="str">
        <f>HYPERLINK(SUBSTITUTE(T(hl_0),"{0}","442391470338539"),hn_0)</f>
        <v>ОВ</v>
      </c>
      <c r="B140" s="7">
        <v>22000</v>
      </c>
      <c r="C140" s="8" t="s">
        <v>51</v>
      </c>
      <c r="D140" s="8" t="s">
        <v>19</v>
      </c>
      <c r="E140" s="13" t="s">
        <v>82</v>
      </c>
    </row>
    <row r="141" spans="1:5" ht="25.5" x14ac:dyDescent="0.2">
      <c r="A141" s="6" t="str">
        <f>HYPERLINK(SUBSTITUTE(T(hl_0),"{0}","442392384342312"),hn_0)</f>
        <v>ОВ</v>
      </c>
      <c r="B141" s="7">
        <v>25000</v>
      </c>
      <c r="C141" s="8" t="s">
        <v>129</v>
      </c>
      <c r="D141" s="8" t="s">
        <v>25</v>
      </c>
      <c r="E141" s="13" t="s">
        <v>130</v>
      </c>
    </row>
    <row r="142" spans="1:5" ht="25.5" x14ac:dyDescent="0.2">
      <c r="A142" s="6" t="str">
        <f>HYPERLINK(SUBSTITUTE(T(hl_0),"{0}","442388539631003"),hn_0)</f>
        <v>ОВ</v>
      </c>
      <c r="B142" s="7">
        <v>19000</v>
      </c>
      <c r="C142" s="8" t="s">
        <v>168</v>
      </c>
      <c r="D142" s="8" t="s">
        <v>169</v>
      </c>
      <c r="E142" s="13" t="s">
        <v>170</v>
      </c>
    </row>
    <row r="143" spans="1:5" ht="38.25" x14ac:dyDescent="0.2">
      <c r="A143" s="6" t="str">
        <f>HYPERLINK(SUBSTITUTE(T(hl_0),"{0}","442388541434004"),hn_0)</f>
        <v>ОВ</v>
      </c>
      <c r="B143" s="7">
        <v>15991.92</v>
      </c>
      <c r="C143" s="8" t="s">
        <v>51</v>
      </c>
      <c r="D143" s="8" t="s">
        <v>25</v>
      </c>
      <c r="E143" s="13" t="s">
        <v>56</v>
      </c>
    </row>
    <row r="144" spans="1:5" ht="25.5" x14ac:dyDescent="0.2">
      <c r="A144" s="6" t="str">
        <f>HYPERLINK(SUBSTITUTE(T(hl_0),"{0}","442389052016881"),hn_0)</f>
        <v>ОВ</v>
      </c>
      <c r="B144" s="7">
        <v>8000</v>
      </c>
      <c r="C144" s="8" t="s">
        <v>171</v>
      </c>
      <c r="D144" s="8" t="s">
        <v>172</v>
      </c>
      <c r="E144" s="13" t="s">
        <v>173</v>
      </c>
    </row>
    <row r="145" spans="1:5" ht="25.5" x14ac:dyDescent="0.2">
      <c r="A145" s="6" t="str">
        <f>HYPERLINK(SUBSTITUTE(T(hl_0),"{0}","442386197295939"),hn_0)</f>
        <v>ОВ</v>
      </c>
      <c r="B145" s="7">
        <v>8350.57</v>
      </c>
      <c r="C145" s="8" t="s">
        <v>174</v>
      </c>
      <c r="D145" s="8" t="s">
        <v>11</v>
      </c>
      <c r="E145" s="13" t="s">
        <v>136</v>
      </c>
    </row>
    <row r="146" spans="1:5" ht="25.5" x14ac:dyDescent="0.2">
      <c r="A146" s="6" t="str">
        <f>HYPERLINK(SUBSTITUTE(T(hl_0),"{0}","442385650173295"),hn_0)</f>
        <v>ОВ</v>
      </c>
      <c r="B146" s="7">
        <v>8700</v>
      </c>
      <c r="C146" s="8" t="s">
        <v>175</v>
      </c>
      <c r="D146" s="8" t="s">
        <v>16</v>
      </c>
      <c r="E146" s="13" t="s">
        <v>176</v>
      </c>
    </row>
    <row r="147" spans="1:5" ht="25.5" x14ac:dyDescent="0.2">
      <c r="A147" s="6" t="str">
        <f>HYPERLINK(SUBSTITUTE(T(hl_0),"{0}","442393905185878"),hn_0)</f>
        <v>ОВ</v>
      </c>
      <c r="B147" s="7">
        <v>14000</v>
      </c>
      <c r="C147" s="8" t="s">
        <v>76</v>
      </c>
      <c r="D147" s="8" t="s">
        <v>11</v>
      </c>
      <c r="E147" s="13" t="s">
        <v>88</v>
      </c>
    </row>
    <row r="148" spans="1:5" ht="25.5" x14ac:dyDescent="0.2">
      <c r="A148" s="6" t="str">
        <f>HYPERLINK(SUBSTITUTE(T(hl_0),"{0}","442393905061770"),hn_0)</f>
        <v>ОВ</v>
      </c>
      <c r="B148" s="7">
        <v>8667</v>
      </c>
      <c r="C148" s="8" t="s">
        <v>43</v>
      </c>
      <c r="D148" s="8" t="s">
        <v>11</v>
      </c>
      <c r="E148" s="13" t="s">
        <v>44</v>
      </c>
    </row>
    <row r="149" spans="1:5" ht="25.5" x14ac:dyDescent="0.2">
      <c r="A149" s="6" t="str">
        <f>HYPERLINK(SUBSTITUTE(T(hl_0),"{0}","442393905061798"),hn_0)</f>
        <v>ОВ</v>
      </c>
      <c r="B149" s="7">
        <v>8667</v>
      </c>
      <c r="C149" s="8" t="s">
        <v>43</v>
      </c>
      <c r="D149" s="8" t="s">
        <v>11</v>
      </c>
      <c r="E149" s="13" t="s">
        <v>44</v>
      </c>
    </row>
    <row r="150" spans="1:5" ht="25.5" x14ac:dyDescent="0.2">
      <c r="A150" s="6" t="str">
        <f>HYPERLINK(SUBSTITUTE(T(hl_0),"{0}","442393371131970"),hn_0)</f>
        <v>ОВ</v>
      </c>
      <c r="B150" s="7">
        <v>13000</v>
      </c>
      <c r="C150" s="8" t="s">
        <v>105</v>
      </c>
      <c r="D150" s="8" t="s">
        <v>11</v>
      </c>
      <c r="E150" s="13" t="s">
        <v>112</v>
      </c>
    </row>
    <row r="151" spans="1:5" ht="38.25" x14ac:dyDescent="0.2">
      <c r="A151" s="6" t="str">
        <f>HYPERLINK(SUBSTITUTE(T(hl_0),"{0}","442395069276375"),hn_0)</f>
        <v>ОВ</v>
      </c>
      <c r="B151" s="7">
        <v>28515</v>
      </c>
      <c r="C151" s="8" t="s">
        <v>51</v>
      </c>
      <c r="D151" s="8" t="s">
        <v>11</v>
      </c>
      <c r="E151" s="13" t="s">
        <v>87</v>
      </c>
    </row>
    <row r="152" spans="1:5" ht="38.25" x14ac:dyDescent="0.2">
      <c r="A152" s="6" t="str">
        <f>HYPERLINK(SUBSTITUTE(T(hl_0),"{0}","442391143366525"),hn_0)</f>
        <v>ОВ</v>
      </c>
      <c r="B152" s="7">
        <v>12000</v>
      </c>
      <c r="C152" s="8" t="s">
        <v>137</v>
      </c>
      <c r="D152" s="8" t="s">
        <v>11</v>
      </c>
      <c r="E152" s="13" t="s">
        <v>177</v>
      </c>
    </row>
    <row r="153" spans="1:5" ht="25.5" x14ac:dyDescent="0.2">
      <c r="A153" s="6" t="str">
        <f>HYPERLINK(SUBSTITUTE(T(hl_0),"{0}","442391284015411"),hn_0)</f>
        <v>ОВ</v>
      </c>
      <c r="B153" s="7">
        <v>23845</v>
      </c>
      <c r="C153" s="8" t="s">
        <v>91</v>
      </c>
      <c r="D153" s="8" t="s">
        <v>11</v>
      </c>
      <c r="E153" s="13" t="s">
        <v>92</v>
      </c>
    </row>
    <row r="154" spans="1:5" ht="25.5" x14ac:dyDescent="0.2">
      <c r="A154" s="6" t="str">
        <f>HYPERLINK(SUBSTITUTE(T(hl_0),"{0}","442390378400707"),hn_0)</f>
        <v>ОВ</v>
      </c>
      <c r="B154" s="7">
        <v>8000</v>
      </c>
      <c r="C154" s="8" t="s">
        <v>145</v>
      </c>
      <c r="D154" s="8" t="s">
        <v>11</v>
      </c>
      <c r="E154" s="13" t="s">
        <v>178</v>
      </c>
    </row>
    <row r="155" spans="1:5" ht="25.5" x14ac:dyDescent="0.2">
      <c r="A155" s="6" t="str">
        <f>HYPERLINK(SUBSTITUTE(T(hl_0),"{0}","442391283284257"),hn_0)</f>
        <v>ОВ</v>
      </c>
      <c r="B155" s="7">
        <v>42050</v>
      </c>
      <c r="C155" s="8" t="s">
        <v>102</v>
      </c>
      <c r="D155" s="8" t="s">
        <v>11</v>
      </c>
      <c r="E155" s="13" t="s">
        <v>103</v>
      </c>
    </row>
    <row r="156" spans="1:5" ht="25.5" x14ac:dyDescent="0.2">
      <c r="A156" s="6" t="str">
        <f>HYPERLINK(SUBSTITUTE(T(hl_0),"{0}","442392094077561"),hn_0)</f>
        <v>ОВ</v>
      </c>
      <c r="B156" s="7">
        <v>15000</v>
      </c>
      <c r="C156" s="8" t="s">
        <v>66</v>
      </c>
      <c r="D156" s="8" t="s">
        <v>67</v>
      </c>
      <c r="E156" s="13" t="s">
        <v>68</v>
      </c>
    </row>
    <row r="157" spans="1:5" ht="25.5" x14ac:dyDescent="0.2">
      <c r="A157" s="6" t="str">
        <f>HYPERLINK(SUBSTITUTE(T(hl_0),"{0}","442391283283925"),hn_0)</f>
        <v>ОВ</v>
      </c>
      <c r="B157" s="7">
        <v>42050</v>
      </c>
      <c r="C157" s="8" t="s">
        <v>102</v>
      </c>
      <c r="D157" s="8" t="s">
        <v>11</v>
      </c>
      <c r="E157" s="13" t="s">
        <v>103</v>
      </c>
    </row>
    <row r="158" spans="1:5" ht="25.5" x14ac:dyDescent="0.2">
      <c r="A158" s="6" t="str">
        <f>HYPERLINK(SUBSTITUTE(T(hl_0),"{0}","442391470338845"),hn_0)</f>
        <v>ОВ</v>
      </c>
      <c r="B158" s="7">
        <v>22000</v>
      </c>
      <c r="C158" s="8" t="s">
        <v>51</v>
      </c>
      <c r="D158" s="8" t="s">
        <v>19</v>
      </c>
      <c r="E158" s="13" t="s">
        <v>82</v>
      </c>
    </row>
    <row r="159" spans="1:5" ht="25.5" x14ac:dyDescent="0.2">
      <c r="A159" s="6" t="str">
        <f>HYPERLINK(SUBSTITUTE(T(hl_0),"{0}","442391470306727"),hn_0)</f>
        <v>ОВ</v>
      </c>
      <c r="B159" s="7">
        <v>25000</v>
      </c>
      <c r="C159" s="8" t="s">
        <v>13</v>
      </c>
      <c r="D159" s="8" t="s">
        <v>19</v>
      </c>
      <c r="E159" s="13" t="s">
        <v>93</v>
      </c>
    </row>
    <row r="160" spans="1:5" ht="25.5" x14ac:dyDescent="0.2">
      <c r="A160" s="6" t="str">
        <f>HYPERLINK(SUBSTITUTE(T(hl_0),"{0}","442391283307506"),hn_0)</f>
        <v>ОВ</v>
      </c>
      <c r="B160" s="7">
        <v>39940</v>
      </c>
      <c r="C160" s="8" t="s">
        <v>13</v>
      </c>
      <c r="D160" s="8" t="s">
        <v>11</v>
      </c>
      <c r="E160" s="13" t="s">
        <v>14</v>
      </c>
    </row>
    <row r="161" spans="1:5" ht="25.5" x14ac:dyDescent="0.2">
      <c r="A161" s="6" t="str">
        <f>HYPERLINK(SUBSTITUTE(T(hl_0),"{0}","442389451943813"),hn_0)</f>
        <v>ОВ</v>
      </c>
      <c r="B161" s="7">
        <v>25000</v>
      </c>
      <c r="C161" s="8" t="s">
        <v>32</v>
      </c>
      <c r="D161" s="8" t="s">
        <v>33</v>
      </c>
      <c r="E161" s="13" t="s">
        <v>55</v>
      </c>
    </row>
    <row r="162" spans="1:5" ht="25.5" x14ac:dyDescent="0.2">
      <c r="A162" s="6" t="str">
        <f>HYPERLINK(SUBSTITUTE(T(hl_0),"{0}","442387856222355"),hn_0)</f>
        <v>ОВ</v>
      </c>
      <c r="B162" s="7">
        <v>27000</v>
      </c>
      <c r="C162" s="8" t="s">
        <v>179</v>
      </c>
      <c r="D162" s="8" t="s">
        <v>85</v>
      </c>
      <c r="E162" s="13" t="s">
        <v>180</v>
      </c>
    </row>
    <row r="163" spans="1:5" ht="25.5" x14ac:dyDescent="0.2">
      <c r="A163" s="6" t="str">
        <f>HYPERLINK(SUBSTITUTE(T(hl_0),"{0}","442389663869036"),hn_0)</f>
        <v>ОВ</v>
      </c>
      <c r="B163" s="7">
        <v>13900</v>
      </c>
      <c r="C163" s="8" t="s">
        <v>51</v>
      </c>
      <c r="D163" s="8" t="s">
        <v>11</v>
      </c>
      <c r="E163" s="13" t="s">
        <v>159</v>
      </c>
    </row>
    <row r="164" spans="1:5" ht="25.5" x14ac:dyDescent="0.2">
      <c r="A164" s="6" t="str">
        <f>HYPERLINK(SUBSTITUTE(T(hl_0),"{0}","442386197314959"),hn_0)</f>
        <v>ОВ</v>
      </c>
      <c r="B164" s="7">
        <v>8000</v>
      </c>
      <c r="C164" s="8" t="s">
        <v>181</v>
      </c>
      <c r="D164" s="8" t="s">
        <v>11</v>
      </c>
      <c r="E164" s="13" t="s">
        <v>182</v>
      </c>
    </row>
    <row r="165" spans="1:5" ht="25.5" x14ac:dyDescent="0.2">
      <c r="A165" s="6" t="str">
        <f>HYPERLINK(SUBSTITUTE(T(hl_0),"{0}","442394504750716"),hn_0)</f>
        <v>ОВ</v>
      </c>
      <c r="B165" s="7">
        <v>10000</v>
      </c>
      <c r="C165" s="8" t="s">
        <v>91</v>
      </c>
      <c r="D165" s="8" t="s">
        <v>11</v>
      </c>
      <c r="E165" s="13" t="s">
        <v>183</v>
      </c>
    </row>
    <row r="166" spans="1:5" ht="25.5" x14ac:dyDescent="0.2">
      <c r="A166" s="6" t="str">
        <f>HYPERLINK(SUBSTITUTE(T(hl_0),"{0}","442395098917018"),hn_0)</f>
        <v>ОВ</v>
      </c>
      <c r="B166" s="7">
        <v>8000</v>
      </c>
      <c r="C166" s="8" t="s">
        <v>184</v>
      </c>
      <c r="D166" s="8" t="s">
        <v>11</v>
      </c>
      <c r="E166" s="13" t="s">
        <v>185</v>
      </c>
    </row>
    <row r="167" spans="1:5" ht="25.5" x14ac:dyDescent="0.2">
      <c r="A167" s="6" t="str">
        <f>HYPERLINK(SUBSTITUTE(T(hl_0),"{0}","442391435685979"),hn_0)</f>
        <v>ОВ</v>
      </c>
      <c r="B167" s="7">
        <v>20160</v>
      </c>
      <c r="C167" s="8" t="s">
        <v>69</v>
      </c>
      <c r="D167" s="8" t="s">
        <v>70</v>
      </c>
      <c r="E167" s="13" t="s">
        <v>71</v>
      </c>
    </row>
    <row r="168" spans="1:5" ht="25.5" x14ac:dyDescent="0.2">
      <c r="A168" s="6" t="str">
        <f>HYPERLINK(SUBSTITUTE(T(hl_0),"{0}","442392720462757"),hn_0)</f>
        <v>ОВ</v>
      </c>
      <c r="B168" s="7">
        <v>16400</v>
      </c>
      <c r="C168" s="8" t="s">
        <v>97</v>
      </c>
      <c r="D168" s="8" t="s">
        <v>39</v>
      </c>
      <c r="E168" s="13" t="s">
        <v>98</v>
      </c>
    </row>
    <row r="169" spans="1:5" ht="25.5" x14ac:dyDescent="0.2">
      <c r="A169" s="6" t="str">
        <f>HYPERLINK(SUBSTITUTE(T(hl_0),"{0}","442391283482893"),hn_0)</f>
        <v>ОВ</v>
      </c>
      <c r="B169" s="7">
        <v>45470</v>
      </c>
      <c r="C169" s="8" t="s">
        <v>186</v>
      </c>
      <c r="D169" s="8" t="s">
        <v>11</v>
      </c>
      <c r="E169" s="13" t="s">
        <v>187</v>
      </c>
    </row>
    <row r="170" spans="1:5" ht="25.5" x14ac:dyDescent="0.2">
      <c r="A170" s="6" t="str">
        <f>HYPERLINK(SUBSTITUTE(T(hl_0),"{0}","442391435529500"),hn_0)</f>
        <v>ОВ</v>
      </c>
      <c r="B170" s="7">
        <v>15600</v>
      </c>
      <c r="C170" s="8" t="s">
        <v>145</v>
      </c>
      <c r="D170" s="8" t="s">
        <v>11</v>
      </c>
      <c r="E170" s="13" t="s">
        <v>188</v>
      </c>
    </row>
    <row r="171" spans="1:5" ht="25.5" x14ac:dyDescent="0.2">
      <c r="A171" s="6" t="str">
        <f>HYPERLINK(SUBSTITUTE(T(hl_0),"{0}","442391283335060"),hn_0)</f>
        <v>ОВ</v>
      </c>
      <c r="B171" s="7">
        <v>39940</v>
      </c>
      <c r="C171" s="8" t="s">
        <v>13</v>
      </c>
      <c r="D171" s="8" t="s">
        <v>11</v>
      </c>
      <c r="E171" s="13" t="s">
        <v>14</v>
      </c>
    </row>
    <row r="172" spans="1:5" ht="25.5" x14ac:dyDescent="0.2">
      <c r="A172" s="6" t="str">
        <f>HYPERLINK(SUBSTITUTE(T(hl_0),"{0}","442392384372000"),hn_0)</f>
        <v>ОВ</v>
      </c>
      <c r="B172" s="7">
        <v>23000</v>
      </c>
      <c r="C172" s="8" t="s">
        <v>18</v>
      </c>
      <c r="D172" s="8" t="s">
        <v>25</v>
      </c>
      <c r="E172" s="13" t="s">
        <v>26</v>
      </c>
    </row>
    <row r="173" spans="1:5" ht="25.5" x14ac:dyDescent="0.2">
      <c r="A173" s="6" t="str">
        <f>HYPERLINK(SUBSTITUTE(T(hl_0),"{0}","442391283501085"),hn_0)</f>
        <v>ОВ</v>
      </c>
      <c r="B173" s="7">
        <v>29060</v>
      </c>
      <c r="C173" s="8" t="s">
        <v>51</v>
      </c>
      <c r="D173" s="8" t="s">
        <v>11</v>
      </c>
      <c r="E173" s="13" t="s">
        <v>52</v>
      </c>
    </row>
    <row r="174" spans="1:5" ht="25.5" x14ac:dyDescent="0.2">
      <c r="A174" s="6" t="str">
        <f>HYPERLINK(SUBSTITUTE(T(hl_0),"{0}","442388655836380"),hn_0)</f>
        <v>ОВ</v>
      </c>
      <c r="B174" s="7">
        <v>20000</v>
      </c>
      <c r="C174" s="8" t="s">
        <v>189</v>
      </c>
      <c r="D174" s="8" t="s">
        <v>11</v>
      </c>
      <c r="E174" s="13" t="s">
        <v>190</v>
      </c>
    </row>
    <row r="175" spans="1:5" ht="51" x14ac:dyDescent="0.2">
      <c r="A175" s="6" t="str">
        <f>HYPERLINK(SUBSTITUTE(T(hl_0),"{0}","442389664062756"),hn_0)</f>
        <v>ОВ</v>
      </c>
      <c r="B175" s="7">
        <v>25000</v>
      </c>
      <c r="C175" s="8" t="s">
        <v>32</v>
      </c>
      <c r="D175" s="8" t="s">
        <v>33</v>
      </c>
      <c r="E175" s="13" t="s">
        <v>34</v>
      </c>
    </row>
    <row r="176" spans="1:5" ht="25.5" x14ac:dyDescent="0.2">
      <c r="A176" s="6" t="str">
        <f>HYPERLINK(SUBSTITUTE(T(hl_0),"{0}","442389451943589"),hn_0)</f>
        <v>ОВ</v>
      </c>
      <c r="B176" s="7">
        <v>25000</v>
      </c>
      <c r="C176" s="8" t="s">
        <v>32</v>
      </c>
      <c r="D176" s="8" t="s">
        <v>33</v>
      </c>
      <c r="E176" s="13" t="s">
        <v>55</v>
      </c>
    </row>
    <row r="177" spans="1:5" ht="25.5" x14ac:dyDescent="0.2">
      <c r="A177" s="6" t="str">
        <f>HYPERLINK(SUBSTITUTE(T(hl_0),"{0}","442386197302025"),hn_0)</f>
        <v>ОВ</v>
      </c>
      <c r="B177" s="7">
        <v>11053.05</v>
      </c>
      <c r="C177" s="8" t="s">
        <v>174</v>
      </c>
      <c r="D177" s="8" t="s">
        <v>11</v>
      </c>
      <c r="E177" s="13" t="s">
        <v>136</v>
      </c>
    </row>
    <row r="178" spans="1:5" ht="25.5" x14ac:dyDescent="0.2">
      <c r="A178" s="6" t="str">
        <f>HYPERLINK(SUBSTITUTE(T(hl_0),"{0}","442384043348425"),hn_0)</f>
        <v>ОВ</v>
      </c>
      <c r="B178" s="7">
        <v>17000</v>
      </c>
      <c r="C178" s="8" t="s">
        <v>191</v>
      </c>
      <c r="D178" s="8" t="s">
        <v>192</v>
      </c>
      <c r="E178" s="13" t="s">
        <v>193</v>
      </c>
    </row>
    <row r="179" spans="1:5" ht="25.5" x14ac:dyDescent="0.2">
      <c r="A179" s="6" t="str">
        <f>HYPERLINK(SUBSTITUTE(T(hl_0),"{0}","442395503228897"),hn_0)</f>
        <v>ОВ</v>
      </c>
      <c r="B179" s="7">
        <v>10192</v>
      </c>
      <c r="C179" s="8" t="s">
        <v>194</v>
      </c>
      <c r="D179" s="8" t="s">
        <v>11</v>
      </c>
      <c r="E179" s="13" t="s">
        <v>195</v>
      </c>
    </row>
    <row r="180" spans="1:5" ht="25.5" x14ac:dyDescent="0.2">
      <c r="A180" s="6" t="str">
        <f>HYPERLINK(SUBSTITUTE(T(hl_0),"{0}","442394680998430"),hn_0)</f>
        <v>ОВ</v>
      </c>
      <c r="B180" s="7">
        <v>14000</v>
      </c>
      <c r="C180" s="8" t="s">
        <v>194</v>
      </c>
      <c r="D180" s="8" t="s">
        <v>60</v>
      </c>
      <c r="E180" s="13" t="s">
        <v>196</v>
      </c>
    </row>
    <row r="181" spans="1:5" ht="38.25" x14ac:dyDescent="0.2">
      <c r="A181" s="6" t="str">
        <f>HYPERLINK(SUBSTITUTE(T(hl_0),"{0}","442395069173135"),hn_0)</f>
        <v>ОВ</v>
      </c>
      <c r="B181" s="7">
        <v>22525</v>
      </c>
      <c r="C181" s="8" t="s">
        <v>18</v>
      </c>
      <c r="D181" s="8" t="s">
        <v>11</v>
      </c>
      <c r="E181" s="13" t="s">
        <v>140</v>
      </c>
    </row>
    <row r="182" spans="1:5" ht="38.25" x14ac:dyDescent="0.2">
      <c r="A182" s="6" t="str">
        <f>HYPERLINK(SUBSTITUTE(T(hl_0),"{0}","442393371166742"),hn_0)</f>
        <v>ОВ</v>
      </c>
      <c r="B182" s="7">
        <v>11000</v>
      </c>
      <c r="C182" s="8" t="s">
        <v>116</v>
      </c>
      <c r="D182" s="8" t="s">
        <v>11</v>
      </c>
      <c r="E182" s="13" t="s">
        <v>197</v>
      </c>
    </row>
    <row r="183" spans="1:5" ht="25.5" x14ac:dyDescent="0.2">
      <c r="A183" s="6" t="str">
        <f>HYPERLINK(SUBSTITUTE(T(hl_0),"{0}","442394346009422"),hn_0)</f>
        <v>ОВ</v>
      </c>
      <c r="B183" s="7">
        <v>20000</v>
      </c>
      <c r="C183" s="8" t="s">
        <v>91</v>
      </c>
      <c r="D183" s="8" t="s">
        <v>19</v>
      </c>
      <c r="E183" s="13" t="s">
        <v>158</v>
      </c>
    </row>
    <row r="184" spans="1:5" ht="25.5" x14ac:dyDescent="0.2">
      <c r="A184" s="6" t="str">
        <f>HYPERLINK(SUBSTITUTE(T(hl_0),"{0}","442390383753825"),hn_0)</f>
        <v>ОВ</v>
      </c>
      <c r="B184" s="7">
        <v>25000</v>
      </c>
      <c r="C184" s="8" t="s">
        <v>102</v>
      </c>
      <c r="D184" s="8" t="s">
        <v>19</v>
      </c>
      <c r="E184" s="13" t="s">
        <v>198</v>
      </c>
    </row>
    <row r="185" spans="1:5" ht="25.5" x14ac:dyDescent="0.2">
      <c r="A185" s="6" t="str">
        <f>HYPERLINK(SUBSTITUTE(T(hl_0),"{0}","442392721191600"),hn_0)</f>
        <v>ОВ</v>
      </c>
      <c r="B185" s="7">
        <v>21800</v>
      </c>
      <c r="C185" s="8" t="s">
        <v>10</v>
      </c>
      <c r="D185" s="8" t="s">
        <v>39</v>
      </c>
      <c r="E185" s="13" t="s">
        <v>94</v>
      </c>
    </row>
    <row r="186" spans="1:5" ht="25.5" x14ac:dyDescent="0.2">
      <c r="A186" s="6" t="str">
        <f>HYPERLINK(SUBSTITUTE(T(hl_0),"{0}","442392721191685"),hn_0)</f>
        <v>ОВ</v>
      </c>
      <c r="B186" s="7">
        <v>21800</v>
      </c>
      <c r="C186" s="8" t="s">
        <v>10</v>
      </c>
      <c r="D186" s="8" t="s">
        <v>39</v>
      </c>
      <c r="E186" s="13" t="s">
        <v>94</v>
      </c>
    </row>
    <row r="187" spans="1:5" ht="25.5" x14ac:dyDescent="0.2">
      <c r="A187" s="6" t="str">
        <f>HYPERLINK(SUBSTITUTE(T(hl_0),"{0}","442391283349686"),hn_0)</f>
        <v>ОВ</v>
      </c>
      <c r="B187" s="7">
        <v>39940</v>
      </c>
      <c r="C187" s="8" t="s">
        <v>13</v>
      </c>
      <c r="D187" s="8" t="s">
        <v>11</v>
      </c>
      <c r="E187" s="13" t="s">
        <v>14</v>
      </c>
    </row>
    <row r="188" spans="1:5" ht="25.5" x14ac:dyDescent="0.2">
      <c r="A188" s="6" t="str">
        <f>HYPERLINK(SUBSTITUTE(T(hl_0),"{0}","442392094077415"),hn_0)</f>
        <v>ОВ</v>
      </c>
      <c r="B188" s="7">
        <v>15000</v>
      </c>
      <c r="C188" s="8" t="s">
        <v>66</v>
      </c>
      <c r="D188" s="8" t="s">
        <v>67</v>
      </c>
      <c r="E188" s="13" t="s">
        <v>68</v>
      </c>
    </row>
    <row r="189" spans="1:5" ht="25.5" x14ac:dyDescent="0.2">
      <c r="A189" s="6" t="str">
        <f>HYPERLINK(SUBSTITUTE(T(hl_0),"{0}","442390383753677"),hn_0)</f>
        <v>ОВ</v>
      </c>
      <c r="B189" s="7">
        <v>25000</v>
      </c>
      <c r="C189" s="8" t="s">
        <v>102</v>
      </c>
      <c r="D189" s="8" t="s">
        <v>19</v>
      </c>
      <c r="E189" s="13" t="s">
        <v>198</v>
      </c>
    </row>
    <row r="190" spans="1:5" ht="25.5" x14ac:dyDescent="0.2">
      <c r="A190" s="6" t="str">
        <f>HYPERLINK(SUBSTITUTE(T(hl_0),"{0}","442390287808150"),hn_0)</f>
        <v>ОВ</v>
      </c>
      <c r="B190" s="7">
        <v>20000</v>
      </c>
      <c r="C190" s="8" t="s">
        <v>141</v>
      </c>
      <c r="D190" s="8" t="s">
        <v>11</v>
      </c>
      <c r="E190" s="13" t="s">
        <v>199</v>
      </c>
    </row>
    <row r="191" spans="1:5" ht="38.25" x14ac:dyDescent="0.2">
      <c r="A191" s="6" t="str">
        <f>HYPERLINK(SUBSTITUTE(T(hl_0),"{0}","442388541433422"),hn_0)</f>
        <v>ОВ</v>
      </c>
      <c r="B191" s="7">
        <v>15991.92</v>
      </c>
      <c r="C191" s="8" t="s">
        <v>18</v>
      </c>
      <c r="D191" s="8" t="s">
        <v>25</v>
      </c>
      <c r="E191" s="13" t="s">
        <v>35</v>
      </c>
    </row>
    <row r="192" spans="1:5" ht="51" x14ac:dyDescent="0.2">
      <c r="A192" s="6" t="str">
        <f>HYPERLINK(SUBSTITUTE(T(hl_0),"{0}","442389665575971"),hn_0)</f>
        <v>ОВ</v>
      </c>
      <c r="B192" s="7">
        <v>25000</v>
      </c>
      <c r="C192" s="8" t="s">
        <v>32</v>
      </c>
      <c r="D192" s="8" t="s">
        <v>33</v>
      </c>
      <c r="E192" s="13" t="s">
        <v>34</v>
      </c>
    </row>
    <row r="193" spans="1:5" ht="25.5" x14ac:dyDescent="0.2">
      <c r="A193" s="6" t="str">
        <f>HYPERLINK(SUBSTITUTE(T(hl_0),"{0}","442389665589983"),hn_0)</f>
        <v>ОВ</v>
      </c>
      <c r="B193" s="7">
        <v>22000</v>
      </c>
      <c r="C193" s="8" t="s">
        <v>51</v>
      </c>
      <c r="D193" s="8" t="s">
        <v>19</v>
      </c>
      <c r="E193" s="13" t="s">
        <v>82</v>
      </c>
    </row>
    <row r="194" spans="1:5" ht="25.5" x14ac:dyDescent="0.2">
      <c r="A194" s="6" t="str">
        <f>HYPERLINK(SUBSTITUTE(T(hl_0),"{0}","442385147890154"),hn_0)</f>
        <v>ОВ</v>
      </c>
      <c r="B194" s="7">
        <v>12000</v>
      </c>
      <c r="C194" s="8" t="s">
        <v>200</v>
      </c>
      <c r="D194" s="8" t="s">
        <v>11</v>
      </c>
      <c r="E194" s="13" t="s">
        <v>201</v>
      </c>
    </row>
    <row r="195" spans="1:5" ht="38.25" x14ac:dyDescent="0.2">
      <c r="A195" s="6" t="str">
        <f>HYPERLINK(SUBSTITUTE(T(hl_0),"{0}","442384857540129"),hn_0)</f>
        <v>ОВ</v>
      </c>
      <c r="B195" s="7">
        <v>8100</v>
      </c>
      <c r="C195" s="8" t="s">
        <v>202</v>
      </c>
      <c r="D195" s="8" t="s">
        <v>11</v>
      </c>
      <c r="E195" s="13" t="s">
        <v>203</v>
      </c>
    </row>
    <row r="196" spans="1:5" ht="38.25" x14ac:dyDescent="0.2">
      <c r="A196" s="6" t="str">
        <f>HYPERLINK(SUBSTITUTE(T(hl_0),"{0}","442384621673212"),hn_0)</f>
        <v>ОВ</v>
      </c>
      <c r="B196" s="7">
        <v>8000</v>
      </c>
      <c r="C196" s="8" t="s">
        <v>204</v>
      </c>
      <c r="D196" s="8" t="s">
        <v>11</v>
      </c>
      <c r="E196" s="13" t="s">
        <v>205</v>
      </c>
    </row>
    <row r="197" spans="1:5" ht="25.5" x14ac:dyDescent="0.2">
      <c r="A197" s="6" t="str">
        <f>HYPERLINK(SUBSTITUTE(T(hl_0),"{0}","442385939216958"),hn_0)</f>
        <v>ОВ</v>
      </c>
      <c r="B197" s="7">
        <v>15000</v>
      </c>
      <c r="C197" s="8" t="s">
        <v>21</v>
      </c>
      <c r="D197" s="8" t="s">
        <v>67</v>
      </c>
      <c r="E197" s="13" t="s">
        <v>206</v>
      </c>
    </row>
    <row r="198" spans="1:5" ht="25.5" x14ac:dyDescent="0.2">
      <c r="A198" s="6" t="str">
        <f>HYPERLINK(SUBSTITUTE(T(hl_0),"{0}","442386197319671"),hn_0)</f>
        <v>ОВ</v>
      </c>
      <c r="B198" s="7">
        <v>11420.75</v>
      </c>
      <c r="C198" s="8" t="s">
        <v>181</v>
      </c>
      <c r="D198" s="8" t="s">
        <v>11</v>
      </c>
      <c r="E198" s="13" t="s">
        <v>182</v>
      </c>
    </row>
    <row r="199" spans="1:5" ht="25.5" x14ac:dyDescent="0.2">
      <c r="A199" s="6" t="str">
        <f>HYPERLINK(SUBSTITUTE(T(hl_0),"{0}","442395159743209"),hn_0)</f>
        <v>ОВ</v>
      </c>
      <c r="B199" s="7">
        <v>10000</v>
      </c>
      <c r="C199" s="8" t="s">
        <v>207</v>
      </c>
      <c r="D199" s="8" t="s">
        <v>208</v>
      </c>
      <c r="E199" s="13" t="s">
        <v>209</v>
      </c>
    </row>
    <row r="200" spans="1:5" ht="25.5" x14ac:dyDescent="0.2">
      <c r="A200" s="6" t="str">
        <f>HYPERLINK(SUBSTITUTE(T(hl_0),"{0}","442393504918719"),hn_0)</f>
        <v>ОВ</v>
      </c>
      <c r="B200" s="7">
        <v>8000</v>
      </c>
      <c r="C200" s="8" t="s">
        <v>21</v>
      </c>
      <c r="D200" s="8" t="s">
        <v>11</v>
      </c>
      <c r="E200" s="13" t="s">
        <v>210</v>
      </c>
    </row>
    <row r="201" spans="1:5" ht="25.5" x14ac:dyDescent="0.2">
      <c r="A201" s="6" t="str">
        <f>HYPERLINK(SUBSTITUTE(T(hl_0),"{0}","442392094076275"),hn_0)</f>
        <v>ОВ</v>
      </c>
      <c r="B201" s="7">
        <v>15000</v>
      </c>
      <c r="C201" s="8" t="s">
        <v>66</v>
      </c>
      <c r="D201" s="8" t="s">
        <v>67</v>
      </c>
      <c r="E201" s="13" t="s">
        <v>68</v>
      </c>
    </row>
    <row r="202" spans="1:5" ht="25.5" x14ac:dyDescent="0.2">
      <c r="A202" s="6" t="str">
        <f>HYPERLINK(SUBSTITUTE(T(hl_0),"{0}","442391283325191"),hn_0)</f>
        <v>ОВ</v>
      </c>
      <c r="B202" s="7">
        <v>39940</v>
      </c>
      <c r="C202" s="8" t="s">
        <v>13</v>
      </c>
      <c r="D202" s="8" t="s">
        <v>11</v>
      </c>
      <c r="E202" s="13" t="s">
        <v>14</v>
      </c>
    </row>
    <row r="203" spans="1:5" ht="25.5" x14ac:dyDescent="0.2">
      <c r="A203" s="6" t="str">
        <f>HYPERLINK(SUBSTITUTE(T(hl_0),"{0}","442391284076208"),hn_0)</f>
        <v>ОВ</v>
      </c>
      <c r="B203" s="7">
        <v>23845</v>
      </c>
      <c r="C203" s="8" t="s">
        <v>23</v>
      </c>
      <c r="D203" s="8" t="s">
        <v>11</v>
      </c>
      <c r="E203" s="13" t="s">
        <v>24</v>
      </c>
    </row>
    <row r="204" spans="1:5" ht="38.25" x14ac:dyDescent="0.2">
      <c r="A204" s="6" t="str">
        <f>HYPERLINK(SUBSTITUTE(T(hl_0),"{0}","442391504405980"),hn_0)</f>
        <v>ОВ</v>
      </c>
      <c r="B204" s="7">
        <v>10000</v>
      </c>
      <c r="C204" s="8" t="s">
        <v>211</v>
      </c>
      <c r="D204" s="8" t="s">
        <v>11</v>
      </c>
      <c r="E204" s="13" t="s">
        <v>212</v>
      </c>
    </row>
    <row r="205" spans="1:5" ht="25.5" x14ac:dyDescent="0.2">
      <c r="A205" s="6" t="str">
        <f>HYPERLINK(SUBSTITUTE(T(hl_0),"{0}","442392720486681"),hn_0)</f>
        <v>ОВ</v>
      </c>
      <c r="B205" s="7">
        <v>14700</v>
      </c>
      <c r="C205" s="8" t="s">
        <v>74</v>
      </c>
      <c r="D205" s="8" t="s">
        <v>39</v>
      </c>
      <c r="E205" s="13" t="s">
        <v>75</v>
      </c>
    </row>
    <row r="206" spans="1:5" ht="25.5" x14ac:dyDescent="0.2">
      <c r="A206" s="6" t="str">
        <f>HYPERLINK(SUBSTITUTE(T(hl_0),"{0}","442392720439958"),hn_0)</f>
        <v>ОВ</v>
      </c>
      <c r="B206" s="7">
        <v>14700</v>
      </c>
      <c r="C206" s="8" t="s">
        <v>97</v>
      </c>
      <c r="D206" s="8" t="s">
        <v>39</v>
      </c>
      <c r="E206" s="13" t="s">
        <v>98</v>
      </c>
    </row>
    <row r="207" spans="1:5" ht="25.5" x14ac:dyDescent="0.2">
      <c r="A207" s="6" t="str">
        <f>HYPERLINK(SUBSTITUTE(T(hl_0),"{0}","442391283499407"),hn_0)</f>
        <v>ОВ</v>
      </c>
      <c r="B207" s="7">
        <v>29060</v>
      </c>
      <c r="C207" s="8" t="s">
        <v>51</v>
      </c>
      <c r="D207" s="8" t="s">
        <v>11</v>
      </c>
      <c r="E207" s="13" t="s">
        <v>52</v>
      </c>
    </row>
    <row r="208" spans="1:5" ht="25.5" x14ac:dyDescent="0.2">
      <c r="A208" s="6" t="str">
        <f>HYPERLINK(SUBSTITUTE(T(hl_0),"{0}","442391283502097"),hn_0)</f>
        <v>ОВ</v>
      </c>
      <c r="B208" s="7">
        <v>29060</v>
      </c>
      <c r="C208" s="8" t="s">
        <v>51</v>
      </c>
      <c r="D208" s="8" t="s">
        <v>11</v>
      </c>
      <c r="E208" s="13" t="s">
        <v>52</v>
      </c>
    </row>
    <row r="209" spans="1:5" ht="25.5" x14ac:dyDescent="0.2">
      <c r="A209" s="6" t="str">
        <f>HYPERLINK(SUBSTITUTE(T(hl_0),"{0}","442391283482922"),hn_0)</f>
        <v>ОВ</v>
      </c>
      <c r="B209" s="7">
        <v>45470</v>
      </c>
      <c r="C209" s="8" t="s">
        <v>186</v>
      </c>
      <c r="D209" s="8" t="s">
        <v>11</v>
      </c>
      <c r="E209" s="13" t="s">
        <v>187</v>
      </c>
    </row>
    <row r="210" spans="1:5" ht="25.5" x14ac:dyDescent="0.2">
      <c r="A210" s="6" t="str">
        <f>HYPERLINK(SUBSTITUTE(T(hl_0),"{0}","442391142188111"),hn_0)</f>
        <v>ОВ</v>
      </c>
      <c r="B210" s="7">
        <v>18000</v>
      </c>
      <c r="C210" s="8" t="s">
        <v>21</v>
      </c>
      <c r="D210" s="8" t="s">
        <v>11</v>
      </c>
      <c r="E210" s="13" t="s">
        <v>22</v>
      </c>
    </row>
    <row r="211" spans="1:5" ht="25.5" x14ac:dyDescent="0.2">
      <c r="A211" s="6" t="str">
        <f>HYPERLINK(SUBSTITUTE(T(hl_0),"{0}","442392721493136"),hn_0)</f>
        <v>ОВ</v>
      </c>
      <c r="B211" s="7">
        <v>8300</v>
      </c>
      <c r="C211" s="8" t="s">
        <v>213</v>
      </c>
      <c r="D211" s="8" t="s">
        <v>11</v>
      </c>
      <c r="E211" s="13" t="s">
        <v>214</v>
      </c>
    </row>
    <row r="212" spans="1:5" ht="25.5" x14ac:dyDescent="0.2">
      <c r="A212" s="6" t="str">
        <f>HYPERLINK(SUBSTITUTE(T(hl_0),"{0}","442390287859919"),hn_0)</f>
        <v>ОВ</v>
      </c>
      <c r="B212" s="7">
        <v>20000</v>
      </c>
      <c r="C212" s="8" t="s">
        <v>27</v>
      </c>
      <c r="D212" s="8" t="s">
        <v>11</v>
      </c>
      <c r="E212" s="13" t="s">
        <v>28</v>
      </c>
    </row>
    <row r="213" spans="1:5" ht="25.5" x14ac:dyDescent="0.2">
      <c r="A213" s="6" t="str">
        <f>HYPERLINK(SUBSTITUTE(T(hl_0),"{0}","442390287884184"),hn_0)</f>
        <v>ОВ</v>
      </c>
      <c r="B213" s="7">
        <v>20000</v>
      </c>
      <c r="C213" s="8" t="s">
        <v>215</v>
      </c>
      <c r="D213" s="8" t="s">
        <v>11</v>
      </c>
      <c r="E213" s="13" t="s">
        <v>216</v>
      </c>
    </row>
    <row r="214" spans="1:5" ht="38.25" x14ac:dyDescent="0.2">
      <c r="A214" s="6" t="str">
        <f>HYPERLINK(SUBSTITUTE(T(hl_0),"{0}","442388541432937"),hn_0)</f>
        <v>ОВ</v>
      </c>
      <c r="B214" s="7">
        <v>15991.92</v>
      </c>
      <c r="C214" s="8" t="s">
        <v>18</v>
      </c>
      <c r="D214" s="8" t="s">
        <v>25</v>
      </c>
      <c r="E214" s="13" t="s">
        <v>35</v>
      </c>
    </row>
    <row r="215" spans="1:5" ht="63.75" x14ac:dyDescent="0.2">
      <c r="A215" s="6" t="str">
        <f>HYPERLINK(SUBSTITUTE(T(hl_0),"{0}","442386089048302"),hn_0)</f>
        <v>ОВ</v>
      </c>
      <c r="B215" s="7">
        <v>8400</v>
      </c>
      <c r="C215" s="8" t="s">
        <v>200</v>
      </c>
      <c r="D215" s="8" t="s">
        <v>11</v>
      </c>
      <c r="E215" s="13" t="s">
        <v>217</v>
      </c>
    </row>
    <row r="216" spans="1:5" ht="25.5" x14ac:dyDescent="0.2">
      <c r="A216" s="6" t="str">
        <f>HYPERLINK(SUBSTITUTE(T(hl_0),"{0}","442385683814657"),hn_0)</f>
        <v>ОВ</v>
      </c>
      <c r="B216" s="7">
        <v>16000</v>
      </c>
      <c r="C216" s="8" t="s">
        <v>218</v>
      </c>
      <c r="D216" s="8" t="s">
        <v>11</v>
      </c>
      <c r="E216" s="13" t="s">
        <v>219</v>
      </c>
    </row>
    <row r="217" spans="1:5" ht="25.5" x14ac:dyDescent="0.2">
      <c r="A217" s="6" t="str">
        <f>HYPERLINK(SUBSTITUTE(T(hl_0),"{0}","442395502801178"),hn_0)</f>
        <v>ОВ</v>
      </c>
      <c r="B217" s="7">
        <v>10800</v>
      </c>
      <c r="C217" s="8" t="s">
        <v>220</v>
      </c>
      <c r="D217" s="8" t="s">
        <v>11</v>
      </c>
      <c r="E217" s="13" t="s">
        <v>221</v>
      </c>
    </row>
    <row r="218" spans="1:5" ht="25.5" x14ac:dyDescent="0.2">
      <c r="A218" s="6" t="str">
        <f>HYPERLINK(SUBSTITUTE(T(hl_0),"{0}","442393905117629"),hn_0)</f>
        <v>ОВ</v>
      </c>
      <c r="B218" s="7">
        <v>14000</v>
      </c>
      <c r="C218" s="8" t="s">
        <v>45</v>
      </c>
      <c r="D218" s="8" t="s">
        <v>11</v>
      </c>
      <c r="E218" s="13" t="s">
        <v>46</v>
      </c>
    </row>
    <row r="219" spans="1:5" ht="25.5" x14ac:dyDescent="0.2">
      <c r="A219" s="6" t="str">
        <f>HYPERLINK(SUBSTITUTE(T(hl_0),"{0}","442393876797969"),hn_0)</f>
        <v>ОВ</v>
      </c>
      <c r="B219" s="7">
        <v>20000</v>
      </c>
      <c r="C219" s="8" t="s">
        <v>222</v>
      </c>
      <c r="D219" s="8" t="s">
        <v>11</v>
      </c>
      <c r="E219" s="13" t="s">
        <v>223</v>
      </c>
    </row>
    <row r="220" spans="1:5" ht="25.5" x14ac:dyDescent="0.2">
      <c r="A220" s="6" t="str">
        <f>HYPERLINK(SUBSTITUTE(T(hl_0),"{0}","442392721473320"),hn_0)</f>
        <v>ОВ</v>
      </c>
      <c r="B220" s="7">
        <v>8300</v>
      </c>
      <c r="C220" s="8" t="s">
        <v>224</v>
      </c>
      <c r="D220" s="8" t="s">
        <v>11</v>
      </c>
      <c r="E220" s="13" t="s">
        <v>225</v>
      </c>
    </row>
    <row r="221" spans="1:5" ht="25.5" x14ac:dyDescent="0.2">
      <c r="A221" s="6" t="str">
        <f>HYPERLINK(SUBSTITUTE(T(hl_0),"{0}","442391435688099"),hn_0)</f>
        <v>ОВ</v>
      </c>
      <c r="B221" s="7">
        <v>20160</v>
      </c>
      <c r="C221" s="8" t="s">
        <v>69</v>
      </c>
      <c r="D221" s="8" t="s">
        <v>70</v>
      </c>
      <c r="E221" s="13" t="s">
        <v>71</v>
      </c>
    </row>
    <row r="222" spans="1:5" ht="25.5" x14ac:dyDescent="0.2">
      <c r="A222" s="6" t="str">
        <f>HYPERLINK(SUBSTITUTE(T(hl_0),"{0}","442391470396506"),hn_0)</f>
        <v>ОВ</v>
      </c>
      <c r="B222" s="7">
        <v>20000</v>
      </c>
      <c r="C222" s="8" t="s">
        <v>47</v>
      </c>
      <c r="D222" s="8" t="s">
        <v>19</v>
      </c>
      <c r="E222" s="13" t="s">
        <v>226</v>
      </c>
    </row>
    <row r="223" spans="1:5" ht="25.5" x14ac:dyDescent="0.2">
      <c r="A223" s="6" t="str">
        <f>HYPERLINK(SUBSTITUTE(T(hl_0),"{0}","442390378149808"),hn_0)</f>
        <v>ОВ</v>
      </c>
      <c r="B223" s="7">
        <v>10000</v>
      </c>
      <c r="C223" s="8" t="s">
        <v>227</v>
      </c>
      <c r="D223" s="8" t="s">
        <v>228</v>
      </c>
      <c r="E223" s="13" t="s">
        <v>229</v>
      </c>
    </row>
    <row r="224" spans="1:5" ht="25.5" x14ac:dyDescent="0.2">
      <c r="A224" s="6" t="str">
        <f>HYPERLINK(SUBSTITUTE(T(hl_0),"{0}","442390383753325"),hn_0)</f>
        <v>ОВ</v>
      </c>
      <c r="B224" s="7">
        <v>25000</v>
      </c>
      <c r="C224" s="8" t="s">
        <v>102</v>
      </c>
      <c r="D224" s="8" t="s">
        <v>19</v>
      </c>
      <c r="E224" s="13" t="s">
        <v>198</v>
      </c>
    </row>
    <row r="225" spans="1:5" ht="25.5" x14ac:dyDescent="0.2">
      <c r="A225" s="6" t="str">
        <f>HYPERLINK(SUBSTITUTE(T(hl_0),"{0}","442392094076444"),hn_0)</f>
        <v>ОВ</v>
      </c>
      <c r="B225" s="7">
        <v>15000</v>
      </c>
      <c r="C225" s="8" t="s">
        <v>66</v>
      </c>
      <c r="D225" s="8" t="s">
        <v>67</v>
      </c>
      <c r="E225" s="13" t="s">
        <v>68</v>
      </c>
    </row>
    <row r="226" spans="1:5" ht="25.5" x14ac:dyDescent="0.2">
      <c r="A226" s="6" t="str">
        <f>HYPERLINK(SUBSTITUTE(T(hl_0),"{0}","442391283333207"),hn_0)</f>
        <v>ОВ</v>
      </c>
      <c r="B226" s="7">
        <v>39940</v>
      </c>
      <c r="C226" s="8" t="s">
        <v>13</v>
      </c>
      <c r="D226" s="8" t="s">
        <v>11</v>
      </c>
      <c r="E226" s="13" t="s">
        <v>14</v>
      </c>
    </row>
    <row r="227" spans="1:5" ht="25.5" x14ac:dyDescent="0.2">
      <c r="A227" s="6" t="str">
        <f>HYPERLINK(SUBSTITUTE(T(hl_0),"{0}","442391470307158"),hn_0)</f>
        <v>ОВ</v>
      </c>
      <c r="B227" s="7">
        <v>25000</v>
      </c>
      <c r="C227" s="8" t="s">
        <v>13</v>
      </c>
      <c r="D227" s="8" t="s">
        <v>19</v>
      </c>
      <c r="E227" s="13" t="s">
        <v>93</v>
      </c>
    </row>
    <row r="228" spans="1:5" ht="25.5" x14ac:dyDescent="0.2">
      <c r="A228" s="6" t="str">
        <f>HYPERLINK(SUBSTITUTE(T(hl_0),"{0}","442390220268380"),hn_0)</f>
        <v>ОВ</v>
      </c>
      <c r="B228" s="7">
        <v>20000</v>
      </c>
      <c r="C228" s="8" t="s">
        <v>36</v>
      </c>
      <c r="D228" s="8" t="s">
        <v>11</v>
      </c>
      <c r="E228" s="13" t="s">
        <v>37</v>
      </c>
    </row>
    <row r="229" spans="1:5" ht="25.5" x14ac:dyDescent="0.2">
      <c r="A229" s="6" t="str">
        <f>HYPERLINK(SUBSTITUTE(T(hl_0),"{0}","442386646579354"),hn_0)</f>
        <v>ОВ</v>
      </c>
      <c r="B229" s="7">
        <v>8100</v>
      </c>
      <c r="C229" s="8" t="s">
        <v>230</v>
      </c>
      <c r="D229" s="8" t="s">
        <v>11</v>
      </c>
      <c r="E229" s="13" t="s">
        <v>231</v>
      </c>
    </row>
    <row r="230" spans="1:5" ht="38.25" x14ac:dyDescent="0.2">
      <c r="A230" s="6" t="str">
        <f>HYPERLINK(SUBSTITUTE(T(hl_0),"{0}","442388541432885"),hn_0)</f>
        <v>ОВ</v>
      </c>
      <c r="B230" s="7">
        <v>15991.92</v>
      </c>
      <c r="C230" s="8" t="s">
        <v>18</v>
      </c>
      <c r="D230" s="8" t="s">
        <v>25</v>
      </c>
      <c r="E230" s="13" t="s">
        <v>35</v>
      </c>
    </row>
    <row r="231" spans="1:5" ht="25.5" x14ac:dyDescent="0.2">
      <c r="A231" s="6" t="str">
        <f>HYPERLINK(SUBSTITUTE(T(hl_0),"{0}","442395502840247"),hn_0)</f>
        <v>ОВ</v>
      </c>
      <c r="B231" s="7">
        <v>10800</v>
      </c>
      <c r="C231" s="8" t="s">
        <v>220</v>
      </c>
      <c r="D231" s="8" t="s">
        <v>11</v>
      </c>
      <c r="E231" s="13" t="s">
        <v>221</v>
      </c>
    </row>
    <row r="232" spans="1:5" ht="25.5" x14ac:dyDescent="0.2">
      <c r="A232" s="6" t="str">
        <f>HYPERLINK(SUBSTITUTE(T(hl_0),"{0}","442393905117665"),hn_0)</f>
        <v>ОВ</v>
      </c>
      <c r="B232" s="7">
        <v>14000</v>
      </c>
      <c r="C232" s="8" t="s">
        <v>45</v>
      </c>
      <c r="D232" s="8" t="s">
        <v>11</v>
      </c>
      <c r="E232" s="13" t="s">
        <v>46</v>
      </c>
    </row>
    <row r="233" spans="1:5" ht="25.5" x14ac:dyDescent="0.2">
      <c r="A233" s="6" t="str">
        <f>HYPERLINK(SUBSTITUTE(T(hl_0),"{0}","442394535156286"),hn_0)</f>
        <v>ОВ</v>
      </c>
      <c r="B233" s="7">
        <v>8500</v>
      </c>
      <c r="C233" s="8" t="s">
        <v>105</v>
      </c>
      <c r="D233" s="8" t="s">
        <v>232</v>
      </c>
      <c r="E233" s="13" t="s">
        <v>233</v>
      </c>
    </row>
    <row r="234" spans="1:5" ht="38.25" x14ac:dyDescent="0.2">
      <c r="A234" s="6" t="str">
        <f>HYPERLINK(SUBSTITUTE(T(hl_0),"{0}","442393905270406"),hn_0)</f>
        <v>ОВ</v>
      </c>
      <c r="B234" s="7">
        <v>15000</v>
      </c>
      <c r="C234" s="8" t="s">
        <v>234</v>
      </c>
      <c r="D234" s="8" t="s">
        <v>11</v>
      </c>
      <c r="E234" s="13" t="s">
        <v>235</v>
      </c>
    </row>
    <row r="235" spans="1:5" ht="25.5" x14ac:dyDescent="0.2">
      <c r="A235" s="6" t="str">
        <f>HYPERLINK(SUBSTITUTE(T(hl_0),"{0}","442391284015146"),hn_0)</f>
        <v>ОВ</v>
      </c>
      <c r="B235" s="7">
        <v>23845</v>
      </c>
      <c r="C235" s="8" t="s">
        <v>91</v>
      </c>
      <c r="D235" s="8" t="s">
        <v>11</v>
      </c>
      <c r="E235" s="13" t="s">
        <v>92</v>
      </c>
    </row>
    <row r="236" spans="1:5" ht="25.5" x14ac:dyDescent="0.2">
      <c r="A236" s="6" t="str">
        <f>HYPERLINK(SUBSTITUTE(T(hl_0),"{0}","442391470307117"),hn_0)</f>
        <v>ОВ</v>
      </c>
      <c r="B236" s="7">
        <v>25000</v>
      </c>
      <c r="C236" s="8" t="s">
        <v>13</v>
      </c>
      <c r="D236" s="8" t="s">
        <v>19</v>
      </c>
      <c r="E236" s="13" t="s">
        <v>93</v>
      </c>
    </row>
    <row r="237" spans="1:5" ht="25.5" x14ac:dyDescent="0.2">
      <c r="A237" s="6" t="str">
        <f>HYPERLINK(SUBSTITUTE(T(hl_0),"{0}","442392406638054"),hn_0)</f>
        <v>ОВ</v>
      </c>
      <c r="B237" s="7">
        <v>10000</v>
      </c>
      <c r="C237" s="8" t="s">
        <v>236</v>
      </c>
      <c r="D237" s="8" t="s">
        <v>77</v>
      </c>
      <c r="E237" s="13" t="s">
        <v>237</v>
      </c>
    </row>
    <row r="238" spans="1:5" ht="25.5" x14ac:dyDescent="0.2">
      <c r="A238" s="6" t="str">
        <f>HYPERLINK(SUBSTITUTE(T(hl_0),"{0}","442392721192945"),hn_0)</f>
        <v>ОВ</v>
      </c>
      <c r="B238" s="7">
        <v>18800</v>
      </c>
      <c r="C238" s="8" t="s">
        <v>10</v>
      </c>
      <c r="D238" s="8" t="s">
        <v>39</v>
      </c>
      <c r="E238" s="13" t="s">
        <v>94</v>
      </c>
    </row>
    <row r="239" spans="1:5" ht="25.5" x14ac:dyDescent="0.2">
      <c r="A239" s="6" t="str">
        <f>HYPERLINK(SUBSTITUTE(T(hl_0),"{0}","442390883527552"),hn_0)</f>
        <v>ОВ</v>
      </c>
      <c r="B239" s="7">
        <v>10000</v>
      </c>
      <c r="C239" s="8" t="s">
        <v>76</v>
      </c>
      <c r="D239" s="8" t="s">
        <v>11</v>
      </c>
      <c r="E239" s="13" t="s">
        <v>238</v>
      </c>
    </row>
    <row r="240" spans="1:5" ht="25.5" x14ac:dyDescent="0.2">
      <c r="A240" s="6" t="str">
        <f>HYPERLINK(SUBSTITUTE(T(hl_0),"{0}","442391470340198"),hn_0)</f>
        <v>ОВ</v>
      </c>
      <c r="B240" s="7">
        <v>22000</v>
      </c>
      <c r="C240" s="8" t="s">
        <v>51</v>
      </c>
      <c r="D240" s="8" t="s">
        <v>19</v>
      </c>
      <c r="E240" s="13" t="s">
        <v>82</v>
      </c>
    </row>
    <row r="241" spans="1:5" ht="25.5" x14ac:dyDescent="0.2">
      <c r="A241" s="6" t="str">
        <f>HYPERLINK(SUBSTITUTE(T(hl_0),"{0}","442391283330740"),hn_0)</f>
        <v>ОВ</v>
      </c>
      <c r="B241" s="7">
        <v>39940</v>
      </c>
      <c r="C241" s="8" t="s">
        <v>13</v>
      </c>
      <c r="D241" s="8" t="s">
        <v>11</v>
      </c>
      <c r="E241" s="13" t="s">
        <v>14</v>
      </c>
    </row>
    <row r="242" spans="1:5" ht="25.5" x14ac:dyDescent="0.2">
      <c r="A242" s="6" t="str">
        <f>HYPERLINK(SUBSTITUTE(T(hl_0),"{0}","442388397172894"),hn_0)</f>
        <v>ОВ</v>
      </c>
      <c r="B242" s="7">
        <v>9050</v>
      </c>
      <c r="C242" s="8" t="s">
        <v>239</v>
      </c>
      <c r="D242" s="8" t="s">
        <v>11</v>
      </c>
      <c r="E242" s="13" t="s">
        <v>240</v>
      </c>
    </row>
    <row r="243" spans="1:5" ht="25.5" x14ac:dyDescent="0.2">
      <c r="A243" s="6" t="str">
        <f>HYPERLINK(SUBSTITUTE(T(hl_0),"{0}","442388471972054"),hn_0)</f>
        <v>ОВ</v>
      </c>
      <c r="B243" s="7">
        <v>8000</v>
      </c>
      <c r="C243" s="8" t="s">
        <v>236</v>
      </c>
      <c r="D243" s="8" t="s">
        <v>241</v>
      </c>
      <c r="E243" s="13" t="s">
        <v>242</v>
      </c>
    </row>
    <row r="244" spans="1:5" ht="38.25" x14ac:dyDescent="0.2">
      <c r="A244" s="6" t="str">
        <f>HYPERLINK(SUBSTITUTE(T(hl_0),"{0}","442389663833206"),hn_0)</f>
        <v>ОВ</v>
      </c>
      <c r="B244" s="7">
        <v>13000</v>
      </c>
      <c r="C244" s="8" t="s">
        <v>100</v>
      </c>
      <c r="D244" s="8" t="s">
        <v>33</v>
      </c>
      <c r="E244" s="13" t="s">
        <v>243</v>
      </c>
    </row>
    <row r="245" spans="1:5" ht="25.5" x14ac:dyDescent="0.2">
      <c r="A245" s="6" t="str">
        <f>HYPERLINK(SUBSTITUTE(T(hl_0),"{0}","442389452096117"),hn_0)</f>
        <v>ОВ</v>
      </c>
      <c r="B245" s="7">
        <v>22000</v>
      </c>
      <c r="C245" s="8" t="s">
        <v>57</v>
      </c>
      <c r="D245" s="8" t="s">
        <v>33</v>
      </c>
      <c r="E245" s="13" t="s">
        <v>58</v>
      </c>
    </row>
    <row r="246" spans="1:5" ht="25.5" x14ac:dyDescent="0.2">
      <c r="A246" s="6" t="str">
        <f>HYPERLINK(SUBSTITUTE(T(hl_0),"{0}","442390241873772"),hn_0)</f>
        <v>ОВ</v>
      </c>
      <c r="B246" s="7">
        <v>12200</v>
      </c>
      <c r="C246" s="8" t="s">
        <v>244</v>
      </c>
      <c r="D246" s="8" t="s">
        <v>77</v>
      </c>
      <c r="E246" s="13" t="s">
        <v>245</v>
      </c>
    </row>
    <row r="247" spans="1:5" ht="51" x14ac:dyDescent="0.2">
      <c r="A247" s="6" t="str">
        <f>HYPERLINK(SUBSTITUTE(T(hl_0),"{0}","442386573622079"),hn_0)</f>
        <v>ОВ</v>
      </c>
      <c r="B247" s="7">
        <v>8000</v>
      </c>
      <c r="C247" s="8" t="s">
        <v>236</v>
      </c>
      <c r="D247" s="8" t="s">
        <v>11</v>
      </c>
      <c r="E247" s="13" t="s">
        <v>246</v>
      </c>
    </row>
    <row r="248" spans="1:5" ht="25.5" x14ac:dyDescent="0.2">
      <c r="A248" s="6" t="str">
        <f>HYPERLINK(SUBSTITUTE(T(hl_0),"{0}","442389664829017"),hn_0)</f>
        <v>ОВ</v>
      </c>
      <c r="B248" s="7">
        <v>22000</v>
      </c>
      <c r="C248" s="8" t="s">
        <v>51</v>
      </c>
      <c r="D248" s="8" t="s">
        <v>19</v>
      </c>
      <c r="E248" s="13" t="s">
        <v>82</v>
      </c>
    </row>
    <row r="249" spans="1:5" ht="38.25" x14ac:dyDescent="0.2">
      <c r="A249" s="6" t="str">
        <f>HYPERLINK(SUBSTITUTE(T(hl_0),"{0}","442388541433288"),hn_0)</f>
        <v>ОВ</v>
      </c>
      <c r="B249" s="7">
        <v>15991.92</v>
      </c>
      <c r="C249" s="8" t="s">
        <v>18</v>
      </c>
      <c r="D249" s="8" t="s">
        <v>25</v>
      </c>
      <c r="E249" s="13" t="s">
        <v>35</v>
      </c>
    </row>
    <row r="250" spans="1:5" ht="25.5" x14ac:dyDescent="0.2">
      <c r="A250" s="6" t="str">
        <f>HYPERLINK(SUBSTITUTE(T(hl_0),"{0}","442386197275657"),hn_0)</f>
        <v>ОВ</v>
      </c>
      <c r="B250" s="7">
        <v>11598.9</v>
      </c>
      <c r="C250" s="8" t="s">
        <v>247</v>
      </c>
      <c r="D250" s="8" t="s">
        <v>11</v>
      </c>
      <c r="E250" s="13" t="s">
        <v>248</v>
      </c>
    </row>
    <row r="251" spans="1:5" ht="51" x14ac:dyDescent="0.2">
      <c r="A251" s="6" t="str">
        <f>HYPERLINK(SUBSTITUTE(T(hl_0),"{0}","442384896087298"),hn_0)</f>
        <v>ОВ</v>
      </c>
      <c r="B251" s="7">
        <v>12000</v>
      </c>
      <c r="C251" s="8" t="s">
        <v>122</v>
      </c>
      <c r="D251" s="8" t="s">
        <v>192</v>
      </c>
      <c r="E251" s="13" t="s">
        <v>249</v>
      </c>
    </row>
    <row r="252" spans="1:5" ht="25.5" x14ac:dyDescent="0.2">
      <c r="A252" s="6" t="str">
        <f>HYPERLINK(SUBSTITUTE(T(hl_0),"{0}","442394286115493"),hn_0)</f>
        <v>ОВ</v>
      </c>
      <c r="B252" s="7">
        <v>15000</v>
      </c>
      <c r="C252" s="8" t="s">
        <v>105</v>
      </c>
      <c r="D252" s="8" t="s">
        <v>39</v>
      </c>
      <c r="E252" s="13" t="s">
        <v>115</v>
      </c>
    </row>
    <row r="253" spans="1:5" ht="25.5" x14ac:dyDescent="0.2">
      <c r="A253" s="6" t="str">
        <f>HYPERLINK(SUBSTITUTE(T(hl_0),"{0}","442393905068044"),hn_0)</f>
        <v>ОВ</v>
      </c>
      <c r="B253" s="7">
        <v>14000</v>
      </c>
      <c r="C253" s="8" t="s">
        <v>250</v>
      </c>
      <c r="D253" s="8" t="s">
        <v>11</v>
      </c>
      <c r="E253" s="13" t="s">
        <v>251</v>
      </c>
    </row>
    <row r="254" spans="1:5" ht="25.5" x14ac:dyDescent="0.2">
      <c r="A254" s="6" t="str">
        <f>HYPERLINK(SUBSTITUTE(T(hl_0),"{0}","442391284075111"),hn_0)</f>
        <v>ОВ</v>
      </c>
      <c r="B254" s="7">
        <v>23845</v>
      </c>
      <c r="C254" s="8" t="s">
        <v>23</v>
      </c>
      <c r="D254" s="8" t="s">
        <v>11</v>
      </c>
      <c r="E254" s="13" t="s">
        <v>24</v>
      </c>
    </row>
    <row r="255" spans="1:5" ht="25.5" x14ac:dyDescent="0.2">
      <c r="A255" s="6" t="str">
        <f>HYPERLINK(SUBSTITUTE(T(hl_0),"{0}","442391470338920"),hn_0)</f>
        <v>ОВ</v>
      </c>
      <c r="B255" s="7">
        <v>22000</v>
      </c>
      <c r="C255" s="8" t="s">
        <v>51</v>
      </c>
      <c r="D255" s="8" t="s">
        <v>19</v>
      </c>
      <c r="E255" s="13" t="s">
        <v>82</v>
      </c>
    </row>
    <row r="256" spans="1:5" ht="25.5" x14ac:dyDescent="0.2">
      <c r="A256" s="6" t="str">
        <f>HYPERLINK(SUBSTITUTE(T(hl_0),"{0}","442391470307356"),hn_0)</f>
        <v>ОВ</v>
      </c>
      <c r="B256" s="7">
        <v>25000</v>
      </c>
      <c r="C256" s="8" t="s">
        <v>13</v>
      </c>
      <c r="D256" s="8" t="s">
        <v>19</v>
      </c>
      <c r="E256" s="13" t="s">
        <v>93</v>
      </c>
    </row>
    <row r="257" spans="1:5" ht="25.5" x14ac:dyDescent="0.2">
      <c r="A257" s="6" t="str">
        <f>HYPERLINK(SUBSTITUTE(T(hl_0),"{0}","442391283499359"),hn_0)</f>
        <v>ОВ</v>
      </c>
      <c r="B257" s="7">
        <v>29060</v>
      </c>
      <c r="C257" s="8" t="s">
        <v>51</v>
      </c>
      <c r="D257" s="8" t="s">
        <v>11</v>
      </c>
      <c r="E257" s="13" t="s">
        <v>52</v>
      </c>
    </row>
    <row r="258" spans="1:5" ht="25.5" x14ac:dyDescent="0.2">
      <c r="A258" s="6" t="str">
        <f>HYPERLINK(SUBSTITUTE(T(hl_0),"{0}","442392721628555"),hn_0)</f>
        <v>ОВ</v>
      </c>
      <c r="B258" s="7">
        <v>14700</v>
      </c>
      <c r="C258" s="8" t="s">
        <v>10</v>
      </c>
      <c r="D258" s="8" t="s">
        <v>39</v>
      </c>
      <c r="E258" s="13" t="s">
        <v>94</v>
      </c>
    </row>
    <row r="259" spans="1:5" ht="38.25" x14ac:dyDescent="0.2">
      <c r="A259" s="6" t="str">
        <f>HYPERLINK(SUBSTITUTE(T(hl_0),"{0}","442390378251568"),hn_0)</f>
        <v>ОВ</v>
      </c>
      <c r="B259" s="7">
        <v>8591</v>
      </c>
      <c r="C259" s="8" t="s">
        <v>252</v>
      </c>
      <c r="D259" s="8" t="s">
        <v>11</v>
      </c>
      <c r="E259" s="13" t="s">
        <v>253</v>
      </c>
    </row>
    <row r="260" spans="1:5" ht="25.5" x14ac:dyDescent="0.2">
      <c r="A260" s="6" t="str">
        <f>HYPERLINK(SUBSTITUTE(T(hl_0),"{0}","442389452097068"),hn_0)</f>
        <v>ОВ</v>
      </c>
      <c r="B260" s="7">
        <v>22000</v>
      </c>
      <c r="C260" s="8" t="s">
        <v>57</v>
      </c>
      <c r="D260" s="8" t="s">
        <v>33</v>
      </c>
      <c r="E260" s="13" t="s">
        <v>58</v>
      </c>
    </row>
    <row r="261" spans="1:5" ht="38.25" x14ac:dyDescent="0.2">
      <c r="A261" s="6" t="str">
        <f>HYPERLINK(SUBSTITUTE(T(hl_0),"{0}","442389665537996"),hn_0)</f>
        <v>ОВ</v>
      </c>
      <c r="B261" s="7">
        <v>23000</v>
      </c>
      <c r="C261" s="8" t="s">
        <v>122</v>
      </c>
      <c r="D261" s="8" t="s">
        <v>33</v>
      </c>
      <c r="E261" s="13" t="s">
        <v>254</v>
      </c>
    </row>
    <row r="262" spans="1:5" ht="25.5" x14ac:dyDescent="0.2">
      <c r="A262" s="6" t="str">
        <f>HYPERLINK(SUBSTITUTE(T(hl_0),"{0}","442387142992877"),hn_0)</f>
        <v>ОВ</v>
      </c>
      <c r="B262" s="7">
        <v>10000</v>
      </c>
      <c r="C262" s="8" t="s">
        <v>255</v>
      </c>
      <c r="D262" s="8" t="s">
        <v>11</v>
      </c>
      <c r="E262" s="13" t="s">
        <v>256</v>
      </c>
    </row>
    <row r="263" spans="1:5" ht="25.5" x14ac:dyDescent="0.2">
      <c r="A263" s="6" t="str">
        <f>HYPERLINK(SUBSTITUTE(T(hl_0),"{0}","442384238502678"),hn_0)</f>
        <v>ОВ</v>
      </c>
      <c r="B263" s="7">
        <v>8200</v>
      </c>
      <c r="C263" s="8" t="s">
        <v>137</v>
      </c>
      <c r="D263" s="8" t="s">
        <v>11</v>
      </c>
      <c r="E263" s="13" t="s">
        <v>257</v>
      </c>
    </row>
    <row r="264" spans="1:5" ht="25.5" x14ac:dyDescent="0.2">
      <c r="A264" s="6" t="str">
        <f>HYPERLINK(SUBSTITUTE(T(hl_0),"{0}","442384080817674"),hn_0)</f>
        <v>ОВ</v>
      </c>
      <c r="B264" s="7">
        <v>10000</v>
      </c>
      <c r="C264" s="8" t="s">
        <v>258</v>
      </c>
      <c r="D264" s="8" t="s">
        <v>11</v>
      </c>
      <c r="E264" s="13" t="s">
        <v>259</v>
      </c>
    </row>
    <row r="265" spans="1:5" ht="25.5" x14ac:dyDescent="0.2">
      <c r="A265" s="6" t="str">
        <f>HYPERLINK(SUBSTITUTE(T(hl_0),"{0}","442386197308664"),hn_0)</f>
        <v>ОВ</v>
      </c>
      <c r="B265" s="7">
        <v>8350.57</v>
      </c>
      <c r="C265" s="8" t="s">
        <v>174</v>
      </c>
      <c r="D265" s="8" t="s">
        <v>11</v>
      </c>
      <c r="E265" s="13" t="s">
        <v>136</v>
      </c>
    </row>
    <row r="266" spans="1:5" ht="25.5" x14ac:dyDescent="0.2">
      <c r="A266" s="6" t="str">
        <f>HYPERLINK(SUBSTITUTE(T(hl_0),"{0}","442393529303866"),hn_0)</f>
        <v>ОВ</v>
      </c>
      <c r="B266" s="7">
        <v>8050</v>
      </c>
      <c r="C266" s="8" t="s">
        <v>143</v>
      </c>
      <c r="D266" s="8" t="s">
        <v>33</v>
      </c>
      <c r="E266" s="13" t="s">
        <v>144</v>
      </c>
    </row>
    <row r="267" spans="1:5" ht="25.5" x14ac:dyDescent="0.2">
      <c r="A267" s="6" t="str">
        <f>HYPERLINK(SUBSTITUTE(T(hl_0),"{0}","442393905068181"),hn_0)</f>
        <v>ОВ</v>
      </c>
      <c r="B267" s="7">
        <v>14000</v>
      </c>
      <c r="C267" s="8" t="s">
        <v>250</v>
      </c>
      <c r="D267" s="8" t="s">
        <v>11</v>
      </c>
      <c r="E267" s="13" t="s">
        <v>251</v>
      </c>
    </row>
    <row r="268" spans="1:5" ht="25.5" x14ac:dyDescent="0.2">
      <c r="A268" s="6" t="str">
        <f>HYPERLINK(SUBSTITUTE(T(hl_0),"{0}","442391283305953"),hn_0)</f>
        <v>ОВ</v>
      </c>
      <c r="B268" s="7">
        <v>39940</v>
      </c>
      <c r="C268" s="8" t="s">
        <v>13</v>
      </c>
      <c r="D268" s="8" t="s">
        <v>11</v>
      </c>
      <c r="E268" s="13" t="s">
        <v>14</v>
      </c>
    </row>
    <row r="269" spans="1:5" ht="25.5" x14ac:dyDescent="0.2">
      <c r="A269" s="6" t="str">
        <f>HYPERLINK(SUBSTITUTE(T(hl_0),"{0}","442391470306977"),hn_0)</f>
        <v>ОВ</v>
      </c>
      <c r="B269" s="7">
        <v>25000</v>
      </c>
      <c r="C269" s="8" t="s">
        <v>13</v>
      </c>
      <c r="D269" s="8" t="s">
        <v>19</v>
      </c>
      <c r="E269" s="13" t="s">
        <v>93</v>
      </c>
    </row>
    <row r="270" spans="1:5" ht="25.5" x14ac:dyDescent="0.2">
      <c r="A270" s="6" t="str">
        <f>HYPERLINK(SUBSTITUTE(T(hl_0),"{0}","442391470399665"),hn_0)</f>
        <v>ОВ</v>
      </c>
      <c r="B270" s="7">
        <v>20000</v>
      </c>
      <c r="C270" s="8" t="s">
        <v>260</v>
      </c>
      <c r="D270" s="8" t="s">
        <v>19</v>
      </c>
      <c r="E270" s="13" t="s">
        <v>261</v>
      </c>
    </row>
    <row r="271" spans="1:5" ht="25.5" x14ac:dyDescent="0.2">
      <c r="A271" s="6" t="str">
        <f>HYPERLINK(SUBSTITUTE(T(hl_0),"{0}","442390729908265"),hn_0)</f>
        <v>ОВ</v>
      </c>
      <c r="B271" s="7">
        <v>9500</v>
      </c>
      <c r="C271" s="8" t="s">
        <v>105</v>
      </c>
      <c r="D271" s="8" t="s">
        <v>19</v>
      </c>
      <c r="E271" s="13" t="s">
        <v>262</v>
      </c>
    </row>
    <row r="272" spans="1:5" ht="25.5" x14ac:dyDescent="0.2">
      <c r="A272" s="6" t="str">
        <f>HYPERLINK(SUBSTITUTE(T(hl_0),"{0}","442391435813173"),hn_0)</f>
        <v>ОВ</v>
      </c>
      <c r="B272" s="7">
        <v>16500</v>
      </c>
      <c r="C272" s="8" t="s">
        <v>89</v>
      </c>
      <c r="D272" s="8" t="s">
        <v>70</v>
      </c>
      <c r="E272" s="13" t="s">
        <v>263</v>
      </c>
    </row>
    <row r="273" spans="1:5" ht="25.5" x14ac:dyDescent="0.2">
      <c r="A273" s="6" t="str">
        <f>HYPERLINK(SUBSTITUTE(T(hl_0),"{0}","442391141861589"),hn_0)</f>
        <v>ОВ</v>
      </c>
      <c r="B273" s="7">
        <v>14700</v>
      </c>
      <c r="C273" s="8" t="s">
        <v>264</v>
      </c>
      <c r="D273" s="8" t="s">
        <v>265</v>
      </c>
      <c r="E273" s="13" t="s">
        <v>266</v>
      </c>
    </row>
    <row r="274" spans="1:5" ht="25.5" x14ac:dyDescent="0.2">
      <c r="A274" s="6" t="str">
        <f>HYPERLINK(SUBSTITUTE(T(hl_0),"{0}","442391435688341"),hn_0)</f>
        <v>ОВ</v>
      </c>
      <c r="B274" s="7">
        <v>20160</v>
      </c>
      <c r="C274" s="8" t="s">
        <v>69</v>
      </c>
      <c r="D274" s="8" t="s">
        <v>70</v>
      </c>
      <c r="E274" s="13" t="s">
        <v>71</v>
      </c>
    </row>
    <row r="275" spans="1:5" ht="25.5" x14ac:dyDescent="0.2">
      <c r="A275" s="6" t="str">
        <f>HYPERLINK(SUBSTITUTE(T(hl_0),"{0}","442391284014880"),hn_0)</f>
        <v>ОВ</v>
      </c>
      <c r="B275" s="7">
        <v>23845</v>
      </c>
      <c r="C275" s="8" t="s">
        <v>91</v>
      </c>
      <c r="D275" s="8" t="s">
        <v>11</v>
      </c>
      <c r="E275" s="13" t="s">
        <v>92</v>
      </c>
    </row>
    <row r="276" spans="1:5" ht="25.5" x14ac:dyDescent="0.2">
      <c r="A276" s="6" t="str">
        <f>HYPERLINK(SUBSTITUTE(T(hl_0),"{0}","442392210875355"),hn_0)</f>
        <v>ОВ</v>
      </c>
      <c r="B276" s="7">
        <v>8500</v>
      </c>
      <c r="C276" s="8" t="s">
        <v>76</v>
      </c>
      <c r="D276" s="8" t="s">
        <v>11</v>
      </c>
      <c r="E276" s="13" t="s">
        <v>267</v>
      </c>
    </row>
    <row r="277" spans="1:5" ht="25.5" x14ac:dyDescent="0.2">
      <c r="A277" s="6" t="str">
        <f>HYPERLINK(SUBSTITUTE(T(hl_0),"{0}","442391470338459"),hn_0)</f>
        <v>ОВ</v>
      </c>
      <c r="B277" s="7">
        <v>22000</v>
      </c>
      <c r="C277" s="8" t="s">
        <v>51</v>
      </c>
      <c r="D277" s="8" t="s">
        <v>19</v>
      </c>
      <c r="E277" s="13" t="s">
        <v>82</v>
      </c>
    </row>
    <row r="278" spans="1:5" ht="25.5" x14ac:dyDescent="0.2">
      <c r="A278" s="6" t="str">
        <f>HYPERLINK(SUBSTITUTE(T(hl_0),"{0}","442390241875708"),hn_0)</f>
        <v>ОВ</v>
      </c>
      <c r="B278" s="7">
        <v>12200</v>
      </c>
      <c r="C278" s="8" t="s">
        <v>244</v>
      </c>
      <c r="D278" s="8" t="s">
        <v>77</v>
      </c>
      <c r="E278" s="13" t="s">
        <v>245</v>
      </c>
    </row>
    <row r="279" spans="1:5" ht="25.5" x14ac:dyDescent="0.2">
      <c r="A279" s="6" t="str">
        <f>HYPERLINK(SUBSTITUTE(T(hl_0),"{0}","442387820361529"),hn_0)</f>
        <v>ОВ</v>
      </c>
      <c r="B279" s="7">
        <v>8600</v>
      </c>
      <c r="C279" s="8" t="s">
        <v>268</v>
      </c>
      <c r="D279" s="8" t="s">
        <v>11</v>
      </c>
      <c r="E279" s="13" t="s">
        <v>269</v>
      </c>
    </row>
    <row r="280" spans="1:5" ht="25.5" x14ac:dyDescent="0.2">
      <c r="A280" s="6" t="str">
        <f>HYPERLINK(SUBSTITUTE(T(hl_0),"{0}","442389665590054"),hn_0)</f>
        <v>ОВ</v>
      </c>
      <c r="B280" s="7">
        <v>22000</v>
      </c>
      <c r="C280" s="8" t="s">
        <v>51</v>
      </c>
      <c r="D280" s="8" t="s">
        <v>19</v>
      </c>
      <c r="E280" s="13" t="s">
        <v>82</v>
      </c>
    </row>
    <row r="281" spans="1:5" ht="38.25" x14ac:dyDescent="0.2">
      <c r="A281" s="6" t="str">
        <f>HYPERLINK(SUBSTITUTE(T(hl_0),"{0}","442388655780404"),hn_0)</f>
        <v>ОВ</v>
      </c>
      <c r="B281" s="7">
        <v>20000</v>
      </c>
      <c r="C281" s="8" t="s">
        <v>270</v>
      </c>
      <c r="D281" s="8" t="s">
        <v>11</v>
      </c>
      <c r="E281" s="13" t="s">
        <v>271</v>
      </c>
    </row>
    <row r="282" spans="1:5" ht="25.5" x14ac:dyDescent="0.2">
      <c r="A282" s="6" t="str">
        <f>HYPERLINK(SUBSTITUTE(T(hl_0),"{0}","442389800876387"),hn_0)</f>
        <v>ОВ</v>
      </c>
      <c r="B282" s="7">
        <v>9100</v>
      </c>
      <c r="C282" s="8" t="s">
        <v>76</v>
      </c>
      <c r="D282" s="8" t="s">
        <v>77</v>
      </c>
      <c r="E282" s="13" t="s">
        <v>78</v>
      </c>
    </row>
    <row r="283" spans="1:5" ht="25.5" x14ac:dyDescent="0.2">
      <c r="A283" s="6" t="str">
        <f>HYPERLINK(SUBSTITUTE(T(hl_0),"{0}","442390109031838"),hn_0)</f>
        <v>ОВ</v>
      </c>
      <c r="B283" s="7">
        <v>8000</v>
      </c>
      <c r="C283" s="8" t="s">
        <v>272</v>
      </c>
      <c r="D283" s="8" t="s">
        <v>11</v>
      </c>
      <c r="E283" s="13" t="s">
        <v>273</v>
      </c>
    </row>
    <row r="284" spans="1:5" ht="25.5" x14ac:dyDescent="0.2">
      <c r="A284" s="6" t="str">
        <f>HYPERLINK(SUBSTITUTE(T(hl_0),"{0}","442383741601625"),hn_0)</f>
        <v>ОВ</v>
      </c>
      <c r="B284" s="7">
        <v>8800</v>
      </c>
      <c r="C284" s="8" t="s">
        <v>274</v>
      </c>
      <c r="D284" s="8" t="s">
        <v>77</v>
      </c>
      <c r="E284" s="13" t="s">
        <v>275</v>
      </c>
    </row>
    <row r="285" spans="1:5" ht="25.5" x14ac:dyDescent="0.2">
      <c r="A285" s="6" t="str">
        <f>HYPERLINK(SUBSTITUTE(T(hl_0),"{0}","442395502775054"),hn_0)</f>
        <v>ОВ</v>
      </c>
      <c r="B285" s="7">
        <v>9720</v>
      </c>
      <c r="C285" s="8" t="s">
        <v>276</v>
      </c>
      <c r="D285" s="8" t="s">
        <v>11</v>
      </c>
      <c r="E285" s="13" t="s">
        <v>277</v>
      </c>
    </row>
    <row r="286" spans="1:5" ht="25.5" x14ac:dyDescent="0.2">
      <c r="A286" s="6" t="str">
        <f>HYPERLINK(SUBSTITUTE(T(hl_0),"{0}","442395503395785"),hn_0)</f>
        <v>ОВ</v>
      </c>
      <c r="B286" s="7">
        <v>8000</v>
      </c>
      <c r="C286" s="8" t="s">
        <v>227</v>
      </c>
      <c r="D286" s="8" t="s">
        <v>11</v>
      </c>
      <c r="E286" s="13" t="s">
        <v>278</v>
      </c>
    </row>
    <row r="287" spans="1:5" ht="25.5" x14ac:dyDescent="0.2">
      <c r="A287" s="6" t="str">
        <f>HYPERLINK(SUBSTITUTE(T(hl_0),"{0}","442393905135178"),hn_0)</f>
        <v>ОВ</v>
      </c>
      <c r="B287" s="7">
        <v>8667</v>
      </c>
      <c r="C287" s="8" t="s">
        <v>15</v>
      </c>
      <c r="D287" s="8" t="s">
        <v>11</v>
      </c>
      <c r="E287" s="13" t="s">
        <v>155</v>
      </c>
    </row>
    <row r="288" spans="1:5" ht="25.5" x14ac:dyDescent="0.2">
      <c r="A288" s="6" t="str">
        <f>HYPERLINK(SUBSTITUTE(T(hl_0),"{0}","442394900697515"),hn_0)</f>
        <v>ОВ</v>
      </c>
      <c r="B288" s="7">
        <v>13000</v>
      </c>
      <c r="C288" s="8" t="s">
        <v>279</v>
      </c>
      <c r="D288" s="8" t="s">
        <v>30</v>
      </c>
      <c r="E288" s="13" t="s">
        <v>280</v>
      </c>
    </row>
    <row r="289" spans="1:5" ht="25.5" x14ac:dyDescent="0.2">
      <c r="A289" s="6" t="str">
        <f>HYPERLINK(SUBSTITUTE(T(hl_0),"{0}","442393529366829"),hn_0)</f>
        <v>ОВ</v>
      </c>
      <c r="B289" s="7">
        <v>8050</v>
      </c>
      <c r="C289" s="8" t="s">
        <v>194</v>
      </c>
      <c r="D289" s="8" t="s">
        <v>33</v>
      </c>
      <c r="E289" s="13" t="s">
        <v>281</v>
      </c>
    </row>
    <row r="290" spans="1:5" ht="38.25" x14ac:dyDescent="0.2">
      <c r="A290" s="6" t="str">
        <f>HYPERLINK(SUBSTITUTE(T(hl_0),"{0}","442394504836300"),hn_0)</f>
        <v>ОВ</v>
      </c>
      <c r="B290" s="7">
        <v>8000</v>
      </c>
      <c r="C290" s="8" t="s">
        <v>74</v>
      </c>
      <c r="D290" s="8" t="s">
        <v>11</v>
      </c>
      <c r="E290" s="13" t="s">
        <v>282</v>
      </c>
    </row>
    <row r="291" spans="1:5" ht="25.5" x14ac:dyDescent="0.2">
      <c r="A291" s="6" t="str">
        <f>HYPERLINK(SUBSTITUTE(T(hl_0),"{0}","442390379365392"),hn_0)</f>
        <v>ОВ</v>
      </c>
      <c r="B291" s="7">
        <v>8000</v>
      </c>
      <c r="C291" s="8" t="s">
        <v>145</v>
      </c>
      <c r="D291" s="8" t="s">
        <v>11</v>
      </c>
      <c r="E291" s="13" t="s">
        <v>283</v>
      </c>
    </row>
    <row r="292" spans="1:5" ht="25.5" x14ac:dyDescent="0.2">
      <c r="A292" s="6" t="str">
        <f>HYPERLINK(SUBSTITUTE(T(hl_0),"{0}","442390659897928"),hn_0)</f>
        <v>ОВ</v>
      </c>
      <c r="B292" s="7">
        <v>8000</v>
      </c>
      <c r="C292" s="8" t="s">
        <v>105</v>
      </c>
      <c r="D292" s="8" t="s">
        <v>228</v>
      </c>
      <c r="E292" s="13" t="s">
        <v>284</v>
      </c>
    </row>
    <row r="293" spans="1:5" ht="25.5" x14ac:dyDescent="0.2">
      <c r="A293" s="6" t="str">
        <f>HYPERLINK(SUBSTITUTE(T(hl_0),"{0}","442391997998831"),hn_0)</f>
        <v>ОВ</v>
      </c>
      <c r="B293" s="7">
        <v>19066</v>
      </c>
      <c r="C293" s="8" t="s">
        <v>148</v>
      </c>
      <c r="D293" s="8" t="s">
        <v>11</v>
      </c>
      <c r="E293" s="13" t="s">
        <v>285</v>
      </c>
    </row>
    <row r="294" spans="1:5" ht="25.5" x14ac:dyDescent="0.2">
      <c r="A294" s="6" t="str">
        <f>HYPERLINK(SUBSTITUTE(T(hl_0),"{0}","442391470307262"),hn_0)</f>
        <v>ОВ</v>
      </c>
      <c r="B294" s="7">
        <v>25000</v>
      </c>
      <c r="C294" s="8" t="s">
        <v>13</v>
      </c>
      <c r="D294" s="8" t="s">
        <v>19</v>
      </c>
      <c r="E294" s="13" t="s">
        <v>93</v>
      </c>
    </row>
    <row r="295" spans="1:5" ht="25.5" x14ac:dyDescent="0.2">
      <c r="A295" s="6" t="str">
        <f>HYPERLINK(SUBSTITUTE(T(hl_0),"{0}","442391284433504"),hn_0)</f>
        <v>ОВ</v>
      </c>
      <c r="B295" s="7">
        <v>12485</v>
      </c>
      <c r="C295" s="8" t="s">
        <v>10</v>
      </c>
      <c r="D295" s="8" t="s">
        <v>11</v>
      </c>
      <c r="E295" s="13" t="s">
        <v>12</v>
      </c>
    </row>
    <row r="296" spans="1:5" ht="25.5" x14ac:dyDescent="0.2">
      <c r="A296" s="6" t="str">
        <f>HYPERLINK(SUBSTITUTE(T(hl_0),"{0}","442391284448961"),hn_0)</f>
        <v>ОВ</v>
      </c>
      <c r="B296" s="7">
        <v>27850</v>
      </c>
      <c r="C296" s="8" t="s">
        <v>47</v>
      </c>
      <c r="D296" s="8" t="s">
        <v>11</v>
      </c>
      <c r="E296" s="13" t="s">
        <v>48</v>
      </c>
    </row>
    <row r="297" spans="1:5" ht="25.5" x14ac:dyDescent="0.2">
      <c r="A297" s="6" t="str">
        <f>HYPERLINK(SUBSTITUTE(T(hl_0),"{0}","442391470340547"),hn_0)</f>
        <v>ОВ</v>
      </c>
      <c r="B297" s="7">
        <v>22000</v>
      </c>
      <c r="C297" s="8" t="s">
        <v>51</v>
      </c>
      <c r="D297" s="8" t="s">
        <v>19</v>
      </c>
      <c r="E297" s="13" t="s">
        <v>82</v>
      </c>
    </row>
    <row r="298" spans="1:5" ht="25.5" x14ac:dyDescent="0.2">
      <c r="A298" s="6" t="str">
        <f>HYPERLINK(SUBSTITUTE(T(hl_0),"{0}","442391283328106"),hn_0)</f>
        <v>ОВ</v>
      </c>
      <c r="B298" s="7">
        <v>39940</v>
      </c>
      <c r="C298" s="8" t="s">
        <v>13</v>
      </c>
      <c r="D298" s="8" t="s">
        <v>11</v>
      </c>
      <c r="E298" s="13" t="s">
        <v>14</v>
      </c>
    </row>
    <row r="299" spans="1:5" ht="25.5" x14ac:dyDescent="0.2">
      <c r="A299" s="6" t="str">
        <f>HYPERLINK(SUBSTITUTE(T(hl_0),"{0}","442391435842869"),hn_0)</f>
        <v>ОВ</v>
      </c>
      <c r="B299" s="7">
        <v>17000</v>
      </c>
      <c r="C299" s="8" t="s">
        <v>122</v>
      </c>
      <c r="D299" s="8" t="s">
        <v>70</v>
      </c>
      <c r="E299" s="13" t="s">
        <v>124</v>
      </c>
    </row>
    <row r="300" spans="1:5" ht="25.5" x14ac:dyDescent="0.2">
      <c r="A300" s="6" t="str">
        <f>HYPERLINK(SUBSTITUTE(T(hl_0),"{0}","442391435688283"),hn_0)</f>
        <v>ОВ</v>
      </c>
      <c r="B300" s="7">
        <v>20160</v>
      </c>
      <c r="C300" s="8" t="s">
        <v>69</v>
      </c>
      <c r="D300" s="8" t="s">
        <v>70</v>
      </c>
      <c r="E300" s="13" t="s">
        <v>71</v>
      </c>
    </row>
    <row r="301" spans="1:5" ht="25.5" x14ac:dyDescent="0.2">
      <c r="A301" s="6" t="str">
        <f>HYPERLINK(SUBSTITUTE(T(hl_0),"{0}","442391284078372"),hn_0)</f>
        <v>ОВ</v>
      </c>
      <c r="B301" s="7">
        <v>23845</v>
      </c>
      <c r="C301" s="8" t="s">
        <v>23</v>
      </c>
      <c r="D301" s="8" t="s">
        <v>11</v>
      </c>
      <c r="E301" s="13" t="s">
        <v>24</v>
      </c>
    </row>
    <row r="302" spans="1:5" ht="25.5" x14ac:dyDescent="0.2">
      <c r="A302" s="6" t="str">
        <f>HYPERLINK(SUBSTITUTE(T(hl_0),"{0}","442391284433478"),hn_0)</f>
        <v>ОВ</v>
      </c>
      <c r="B302" s="7">
        <v>12485</v>
      </c>
      <c r="C302" s="8" t="s">
        <v>10</v>
      </c>
      <c r="D302" s="8" t="s">
        <v>11</v>
      </c>
      <c r="E302" s="13" t="s">
        <v>12</v>
      </c>
    </row>
    <row r="303" spans="1:5" ht="25.5" x14ac:dyDescent="0.2">
      <c r="A303" s="6" t="str">
        <f>HYPERLINK(SUBSTITUTE(T(hl_0),"{0}","442391283343360"),hn_0)</f>
        <v>ОВ</v>
      </c>
      <c r="B303" s="7">
        <v>39940</v>
      </c>
      <c r="C303" s="8" t="s">
        <v>13</v>
      </c>
      <c r="D303" s="8" t="s">
        <v>11</v>
      </c>
      <c r="E303" s="13" t="s">
        <v>14</v>
      </c>
    </row>
    <row r="304" spans="1:5" ht="25.5" x14ac:dyDescent="0.2">
      <c r="A304" s="6" t="str">
        <f>HYPERLINK(SUBSTITUTE(T(hl_0),"{0}","442388541477268"),hn_0)</f>
        <v>ОВ</v>
      </c>
      <c r="B304" s="7">
        <v>19578</v>
      </c>
      <c r="C304" s="8" t="s">
        <v>286</v>
      </c>
      <c r="D304" s="8" t="s">
        <v>25</v>
      </c>
      <c r="E304" s="13" t="s">
        <v>287</v>
      </c>
    </row>
    <row r="305" spans="1:5" ht="25.5" x14ac:dyDescent="0.2">
      <c r="A305" s="6" t="str">
        <f>HYPERLINK(SUBSTITUTE(T(hl_0),"{0}","442389663675932"),hn_0)</f>
        <v>ОВ</v>
      </c>
      <c r="B305" s="7">
        <v>13900</v>
      </c>
      <c r="C305" s="8" t="s">
        <v>51</v>
      </c>
      <c r="D305" s="8" t="s">
        <v>11</v>
      </c>
      <c r="E305" s="13" t="s">
        <v>159</v>
      </c>
    </row>
    <row r="306" spans="1:5" ht="25.5" x14ac:dyDescent="0.2">
      <c r="A306" s="6" t="str">
        <f>HYPERLINK(SUBSTITUTE(T(hl_0),"{0}","442389665644825"),hn_0)</f>
        <v>ОВ</v>
      </c>
      <c r="B306" s="7">
        <v>20000</v>
      </c>
      <c r="C306" s="8" t="s">
        <v>51</v>
      </c>
      <c r="D306" s="8" t="s">
        <v>11</v>
      </c>
      <c r="E306" s="13" t="s">
        <v>288</v>
      </c>
    </row>
    <row r="307" spans="1:5" ht="38.25" x14ac:dyDescent="0.2">
      <c r="A307" s="6" t="str">
        <f>HYPERLINK(SUBSTITUTE(T(hl_0),"{0}","442388541432902"),hn_0)</f>
        <v>ОВ</v>
      </c>
      <c r="B307" s="7">
        <v>15991.92</v>
      </c>
      <c r="C307" s="8" t="s">
        <v>18</v>
      </c>
      <c r="D307" s="8" t="s">
        <v>25</v>
      </c>
      <c r="E307" s="13" t="s">
        <v>35</v>
      </c>
    </row>
    <row r="308" spans="1:5" ht="25.5" x14ac:dyDescent="0.2">
      <c r="A308" s="6" t="str">
        <f>HYPERLINK(SUBSTITUTE(T(hl_0),"{0}","442390241982849"),hn_0)</f>
        <v>ОВ</v>
      </c>
      <c r="B308" s="7">
        <v>9900</v>
      </c>
      <c r="C308" s="8" t="s">
        <v>289</v>
      </c>
      <c r="D308" s="8" t="s">
        <v>77</v>
      </c>
      <c r="E308" s="13" t="s">
        <v>290</v>
      </c>
    </row>
    <row r="309" spans="1:5" ht="25.5" x14ac:dyDescent="0.2">
      <c r="A309" s="6" t="str">
        <f>HYPERLINK(SUBSTITUTE(T(hl_0),"{0}","442384583361303"),hn_0)</f>
        <v>ОВ</v>
      </c>
      <c r="B309" s="7">
        <v>8000</v>
      </c>
      <c r="C309" s="8" t="s">
        <v>291</v>
      </c>
      <c r="D309" s="8" t="s">
        <v>11</v>
      </c>
      <c r="E309" s="13" t="s">
        <v>292</v>
      </c>
    </row>
    <row r="310" spans="1:5" ht="25.5" x14ac:dyDescent="0.2">
      <c r="A310" s="6" t="str">
        <f>HYPERLINK(SUBSTITUTE(T(hl_0),"{0}","442395503178883"),hn_0)</f>
        <v>ОВ</v>
      </c>
      <c r="B310" s="7">
        <v>8300</v>
      </c>
      <c r="C310" s="8" t="s">
        <v>122</v>
      </c>
      <c r="D310" s="8" t="s">
        <v>11</v>
      </c>
      <c r="E310" s="13" t="s">
        <v>293</v>
      </c>
    </row>
    <row r="311" spans="1:5" ht="25.5" x14ac:dyDescent="0.2">
      <c r="A311" s="6" t="str">
        <f>HYPERLINK(SUBSTITUTE(T(hl_0),"{0}","442395530260407"),hn_0)</f>
        <v>ОВ</v>
      </c>
      <c r="B311" s="7">
        <v>13849</v>
      </c>
      <c r="C311" s="8" t="s">
        <v>294</v>
      </c>
      <c r="D311" s="8" t="s">
        <v>11</v>
      </c>
      <c r="E311" s="13" t="s">
        <v>295</v>
      </c>
    </row>
    <row r="312" spans="1:5" ht="25.5" x14ac:dyDescent="0.2">
      <c r="A312" s="6" t="str">
        <f>HYPERLINK(SUBSTITUTE(T(hl_0),"{0}","442393905109167"),hn_0)</f>
        <v>ОВ</v>
      </c>
      <c r="B312" s="7">
        <v>14000</v>
      </c>
      <c r="C312" s="8" t="s">
        <v>141</v>
      </c>
      <c r="D312" s="8" t="s">
        <v>11</v>
      </c>
      <c r="E312" s="13" t="s">
        <v>142</v>
      </c>
    </row>
    <row r="313" spans="1:5" ht="25.5" x14ac:dyDescent="0.2">
      <c r="A313" s="6" t="str">
        <f>HYPERLINK(SUBSTITUTE(T(hl_0),"{0}","442391284449337"),hn_0)</f>
        <v>ОВ</v>
      </c>
      <c r="B313" s="7">
        <v>27850</v>
      </c>
      <c r="C313" s="8" t="s">
        <v>47</v>
      </c>
      <c r="D313" s="8" t="s">
        <v>11</v>
      </c>
      <c r="E313" s="13" t="s">
        <v>48</v>
      </c>
    </row>
    <row r="314" spans="1:5" ht="25.5" x14ac:dyDescent="0.2">
      <c r="A314" s="6" t="str">
        <f>HYPERLINK(SUBSTITUTE(T(hl_0),"{0}","442391248670270"),hn_0)</f>
        <v>ОВ</v>
      </c>
      <c r="B314" s="7">
        <v>11326</v>
      </c>
      <c r="C314" s="8" t="s">
        <v>122</v>
      </c>
      <c r="D314" s="8" t="s">
        <v>11</v>
      </c>
      <c r="E314" s="13" t="s">
        <v>296</v>
      </c>
    </row>
    <row r="315" spans="1:5" ht="25.5" x14ac:dyDescent="0.2">
      <c r="A315" s="6" t="str">
        <f>HYPERLINK(SUBSTITUTE(T(hl_0),"{0}","442391284014861"),hn_0)</f>
        <v>ОВ</v>
      </c>
      <c r="B315" s="7">
        <v>23845</v>
      </c>
      <c r="C315" s="8" t="s">
        <v>91</v>
      </c>
      <c r="D315" s="8" t="s">
        <v>11</v>
      </c>
      <c r="E315" s="13" t="s">
        <v>92</v>
      </c>
    </row>
    <row r="316" spans="1:5" ht="25.5" x14ac:dyDescent="0.2">
      <c r="A316" s="6" t="str">
        <f>HYPERLINK(SUBSTITUTE(T(hl_0),"{0}","442390382727160"),hn_0)</f>
        <v>ОВ</v>
      </c>
      <c r="B316" s="7">
        <v>10300</v>
      </c>
      <c r="C316" s="8" t="s">
        <v>110</v>
      </c>
      <c r="D316" s="8" t="s">
        <v>297</v>
      </c>
      <c r="E316" s="13" t="s">
        <v>298</v>
      </c>
    </row>
    <row r="317" spans="1:5" ht="25.5" x14ac:dyDescent="0.2">
      <c r="A317" s="6" t="str">
        <f>HYPERLINK(SUBSTITUTE(T(hl_0),"{0}","442390287884117"),hn_0)</f>
        <v>ОВ</v>
      </c>
      <c r="B317" s="7">
        <v>20000</v>
      </c>
      <c r="C317" s="8" t="s">
        <v>215</v>
      </c>
      <c r="D317" s="8" t="s">
        <v>11</v>
      </c>
      <c r="E317" s="13" t="s">
        <v>216</v>
      </c>
    </row>
    <row r="318" spans="1:5" ht="25.5" x14ac:dyDescent="0.2">
      <c r="A318" s="6" t="str">
        <f>HYPERLINK(SUBSTITUTE(T(hl_0),"{0}","442391283500276"),hn_0)</f>
        <v>ОВ</v>
      </c>
      <c r="B318" s="7">
        <v>29060</v>
      </c>
      <c r="C318" s="8" t="s">
        <v>51</v>
      </c>
      <c r="D318" s="8" t="s">
        <v>11</v>
      </c>
      <c r="E318" s="13" t="s">
        <v>52</v>
      </c>
    </row>
    <row r="319" spans="1:5" ht="25.5" x14ac:dyDescent="0.2">
      <c r="A319" s="6" t="str">
        <f>HYPERLINK(SUBSTITUTE(T(hl_0),"{0}","442391718721984"),hn_0)</f>
        <v>ОВ</v>
      </c>
      <c r="B319" s="7">
        <v>8145</v>
      </c>
      <c r="C319" s="8" t="s">
        <v>76</v>
      </c>
      <c r="D319" s="8" t="s">
        <v>11</v>
      </c>
      <c r="E319" s="13" t="s">
        <v>299</v>
      </c>
    </row>
    <row r="320" spans="1:5" ht="25.5" x14ac:dyDescent="0.2">
      <c r="A320" s="6" t="str">
        <f>HYPERLINK(SUBSTITUTE(T(hl_0),"{0}","442391142188051"),hn_0)</f>
        <v>ОВ</v>
      </c>
      <c r="B320" s="7">
        <v>18000</v>
      </c>
      <c r="C320" s="8" t="s">
        <v>21</v>
      </c>
      <c r="D320" s="8" t="s">
        <v>11</v>
      </c>
      <c r="E320" s="13" t="s">
        <v>22</v>
      </c>
    </row>
    <row r="321" spans="1:5" ht="25.5" x14ac:dyDescent="0.2">
      <c r="A321" s="6" t="str">
        <f>HYPERLINK(SUBSTITUTE(T(hl_0),"{0}","442392720462789"),hn_0)</f>
        <v>ОВ</v>
      </c>
      <c r="B321" s="7">
        <v>16400</v>
      </c>
      <c r="C321" s="8" t="s">
        <v>97</v>
      </c>
      <c r="D321" s="8" t="s">
        <v>39</v>
      </c>
      <c r="E321" s="13" t="s">
        <v>98</v>
      </c>
    </row>
    <row r="322" spans="1:5" ht="25.5" x14ac:dyDescent="0.2">
      <c r="A322" s="6" t="str">
        <f>HYPERLINK(SUBSTITUTE(T(hl_0),"{0}","442391470398439"),hn_0)</f>
        <v>ОВ</v>
      </c>
      <c r="B322" s="7">
        <v>20000</v>
      </c>
      <c r="C322" s="8" t="s">
        <v>47</v>
      </c>
      <c r="D322" s="8" t="s">
        <v>19</v>
      </c>
      <c r="E322" s="13" t="s">
        <v>226</v>
      </c>
    </row>
    <row r="323" spans="1:5" ht="25.5" x14ac:dyDescent="0.2">
      <c r="A323" s="6" t="str">
        <f>HYPERLINK(SUBSTITUTE(T(hl_0),"{0}","442391284076648"),hn_0)</f>
        <v>ОВ</v>
      </c>
      <c r="B323" s="7">
        <v>23845</v>
      </c>
      <c r="C323" s="8" t="s">
        <v>23</v>
      </c>
      <c r="D323" s="8" t="s">
        <v>11</v>
      </c>
      <c r="E323" s="13" t="s">
        <v>24</v>
      </c>
    </row>
    <row r="324" spans="1:5" ht="25.5" x14ac:dyDescent="0.2">
      <c r="A324" s="6" t="str">
        <f>HYPERLINK(SUBSTITUTE(T(hl_0),"{0}","442389663677065"),hn_0)</f>
        <v>ОВ</v>
      </c>
      <c r="B324" s="7">
        <v>13900</v>
      </c>
      <c r="C324" s="8" t="s">
        <v>51</v>
      </c>
      <c r="D324" s="8" t="s">
        <v>11</v>
      </c>
      <c r="E324" s="13" t="s">
        <v>159</v>
      </c>
    </row>
    <row r="325" spans="1:5" ht="25.5" x14ac:dyDescent="0.2">
      <c r="A325" s="6" t="str">
        <f>HYPERLINK(SUBSTITUTE(T(hl_0),"{0}","442385650279033"),hn_0)</f>
        <v>ОВ</v>
      </c>
      <c r="B325" s="7">
        <v>8700</v>
      </c>
      <c r="C325" s="8" t="s">
        <v>105</v>
      </c>
      <c r="D325" s="8" t="s">
        <v>11</v>
      </c>
      <c r="E325" s="13" t="s">
        <v>300</v>
      </c>
    </row>
    <row r="326" spans="1:5" ht="25.5" x14ac:dyDescent="0.2">
      <c r="A326" s="6" t="str">
        <f>HYPERLINK(SUBSTITUTE(T(hl_0),"{0}","442386197275789"),hn_0)</f>
        <v>ОВ</v>
      </c>
      <c r="B326" s="7">
        <v>11598.9</v>
      </c>
      <c r="C326" s="8" t="s">
        <v>247</v>
      </c>
      <c r="D326" s="8" t="s">
        <v>11</v>
      </c>
      <c r="E326" s="13" t="s">
        <v>248</v>
      </c>
    </row>
    <row r="327" spans="1:5" ht="25.5" x14ac:dyDescent="0.2">
      <c r="A327" s="6" t="str">
        <f>HYPERLINK(SUBSTITUTE(T(hl_0),"{0}","442394286116360"),hn_0)</f>
        <v>ОВ</v>
      </c>
      <c r="B327" s="7">
        <v>15000</v>
      </c>
      <c r="C327" s="8" t="s">
        <v>105</v>
      </c>
      <c r="D327" s="8" t="s">
        <v>39</v>
      </c>
      <c r="E327" s="13" t="s">
        <v>115</v>
      </c>
    </row>
    <row r="328" spans="1:5" ht="25.5" x14ac:dyDescent="0.2">
      <c r="A328" s="6" t="str">
        <f>HYPERLINK(SUBSTITUTE(T(hl_0),"{0}","442393905109506"),hn_0)</f>
        <v>ОВ</v>
      </c>
      <c r="B328" s="7">
        <v>14000</v>
      </c>
      <c r="C328" s="8" t="s">
        <v>141</v>
      </c>
      <c r="D328" s="8" t="s">
        <v>11</v>
      </c>
      <c r="E328" s="13" t="s">
        <v>142</v>
      </c>
    </row>
    <row r="329" spans="1:5" ht="76.5" x14ac:dyDescent="0.2">
      <c r="A329" s="6" t="str">
        <f>HYPERLINK(SUBSTITUTE(T(hl_0),"{0}","442393653400820"),hn_0)</f>
        <v>ОВ</v>
      </c>
      <c r="B329" s="7">
        <v>14000</v>
      </c>
      <c r="C329" s="8" t="s">
        <v>41</v>
      </c>
      <c r="D329" s="8" t="s">
        <v>11</v>
      </c>
      <c r="E329" s="13" t="s">
        <v>42</v>
      </c>
    </row>
    <row r="330" spans="1:5" ht="25.5" x14ac:dyDescent="0.2">
      <c r="A330" s="6" t="str">
        <f>HYPERLINK(SUBSTITUTE(T(hl_0),"{0}","442391470306961"),hn_0)</f>
        <v>ОВ</v>
      </c>
      <c r="B330" s="7">
        <v>25000</v>
      </c>
      <c r="C330" s="8" t="s">
        <v>13</v>
      </c>
      <c r="D330" s="8" t="s">
        <v>19</v>
      </c>
      <c r="E330" s="13" t="s">
        <v>93</v>
      </c>
    </row>
    <row r="331" spans="1:5" ht="25.5" x14ac:dyDescent="0.2">
      <c r="A331" s="6" t="str">
        <f>HYPERLINK(SUBSTITUTE(T(hl_0),"{0}","442390448316834"),hn_0)</f>
        <v>ОВ</v>
      </c>
      <c r="B331" s="7">
        <v>12290</v>
      </c>
      <c r="C331" s="8" t="s">
        <v>244</v>
      </c>
      <c r="D331" s="8" t="s">
        <v>77</v>
      </c>
      <c r="E331" s="13" t="s">
        <v>245</v>
      </c>
    </row>
    <row r="332" spans="1:5" ht="25.5" x14ac:dyDescent="0.2">
      <c r="A332" s="6" t="str">
        <f>HYPERLINK(SUBSTITUTE(T(hl_0),"{0}","442391470306782"),hn_0)</f>
        <v>ОВ</v>
      </c>
      <c r="B332" s="7">
        <v>25000</v>
      </c>
      <c r="C332" s="8" t="s">
        <v>13</v>
      </c>
      <c r="D332" s="8" t="s">
        <v>19</v>
      </c>
      <c r="E332" s="13" t="s">
        <v>93</v>
      </c>
    </row>
    <row r="333" spans="1:5" ht="25.5" x14ac:dyDescent="0.2">
      <c r="A333" s="6" t="str">
        <f>HYPERLINK(SUBSTITUTE(T(hl_0),"{0}","442392406631346"),hn_0)</f>
        <v>ОВ</v>
      </c>
      <c r="B333" s="7">
        <v>10000</v>
      </c>
      <c r="C333" s="8" t="s">
        <v>301</v>
      </c>
      <c r="D333" s="8" t="s">
        <v>77</v>
      </c>
      <c r="E333" s="13" t="s">
        <v>302</v>
      </c>
    </row>
    <row r="334" spans="1:5" ht="25.5" x14ac:dyDescent="0.2">
      <c r="A334" s="6" t="str">
        <f>HYPERLINK(SUBSTITUTE(T(hl_0),"{0}","442392721131953"),hn_0)</f>
        <v>ОВ</v>
      </c>
      <c r="B334" s="7">
        <v>21800</v>
      </c>
      <c r="C334" s="8" t="s">
        <v>95</v>
      </c>
      <c r="D334" s="8" t="s">
        <v>39</v>
      </c>
      <c r="E334" s="13" t="s">
        <v>96</v>
      </c>
    </row>
    <row r="335" spans="1:5" ht="25.5" x14ac:dyDescent="0.2">
      <c r="A335" s="6" t="str">
        <f>HYPERLINK(SUBSTITUTE(T(hl_0),"{0}","442391283283792"),hn_0)</f>
        <v>ОВ</v>
      </c>
      <c r="B335" s="7">
        <v>42050</v>
      </c>
      <c r="C335" s="8" t="s">
        <v>102</v>
      </c>
      <c r="D335" s="8" t="s">
        <v>11</v>
      </c>
      <c r="E335" s="13" t="s">
        <v>103</v>
      </c>
    </row>
    <row r="336" spans="1:5" ht="25.5" x14ac:dyDescent="0.2">
      <c r="A336" s="6" t="str">
        <f>HYPERLINK(SUBSTITUTE(T(hl_0),"{0}","442391282709496"),hn_0)</f>
        <v>ОВ</v>
      </c>
      <c r="B336" s="7">
        <v>18815</v>
      </c>
      <c r="C336" s="8" t="s">
        <v>303</v>
      </c>
      <c r="D336" s="8" t="s">
        <v>39</v>
      </c>
      <c r="E336" s="13" t="s">
        <v>304</v>
      </c>
    </row>
    <row r="337" spans="1:5" ht="25.5" x14ac:dyDescent="0.2">
      <c r="A337" s="6" t="str">
        <f>HYPERLINK(SUBSTITUTE(T(hl_0),"{0}","442392094066225"),hn_0)</f>
        <v>ОВ</v>
      </c>
      <c r="B337" s="7">
        <v>15000</v>
      </c>
      <c r="C337" s="8" t="s">
        <v>66</v>
      </c>
      <c r="D337" s="8" t="s">
        <v>67</v>
      </c>
      <c r="E337" s="13" t="s">
        <v>68</v>
      </c>
    </row>
    <row r="338" spans="1:5" ht="25.5" x14ac:dyDescent="0.2">
      <c r="A338" s="6" t="str">
        <f>HYPERLINK(SUBSTITUTE(T(hl_0),"{0}","442391283283657"),hn_0)</f>
        <v>ОВ</v>
      </c>
      <c r="B338" s="7">
        <v>42050</v>
      </c>
      <c r="C338" s="8" t="s">
        <v>102</v>
      </c>
      <c r="D338" s="8" t="s">
        <v>11</v>
      </c>
      <c r="E338" s="13" t="s">
        <v>103</v>
      </c>
    </row>
    <row r="339" spans="1:5" ht="25.5" x14ac:dyDescent="0.2">
      <c r="A339" s="6" t="str">
        <f>HYPERLINK(SUBSTITUTE(T(hl_0),"{0}","442391283483082"),hn_0)</f>
        <v>ОВ</v>
      </c>
      <c r="B339" s="7">
        <v>45470</v>
      </c>
      <c r="C339" s="8" t="s">
        <v>186</v>
      </c>
      <c r="D339" s="8" t="s">
        <v>11</v>
      </c>
      <c r="E339" s="13" t="s">
        <v>187</v>
      </c>
    </row>
    <row r="340" spans="1:5" ht="25.5" x14ac:dyDescent="0.2">
      <c r="A340" s="6" t="str">
        <f>HYPERLINK(SUBSTITUTE(T(hl_0),"{0}","442391470376576"),hn_0)</f>
        <v>ОВ</v>
      </c>
      <c r="B340" s="7">
        <v>17000</v>
      </c>
      <c r="C340" s="8" t="s">
        <v>18</v>
      </c>
      <c r="D340" s="8" t="s">
        <v>19</v>
      </c>
      <c r="E340" s="13" t="s">
        <v>20</v>
      </c>
    </row>
    <row r="341" spans="1:5" ht="25.5" x14ac:dyDescent="0.2">
      <c r="A341" s="6" t="str">
        <f>HYPERLINK(SUBSTITUTE(T(hl_0),"{0}","442391283267072"),hn_0)</f>
        <v>ОВ</v>
      </c>
      <c r="B341" s="7">
        <v>14000</v>
      </c>
      <c r="C341" s="8" t="s">
        <v>74</v>
      </c>
      <c r="D341" s="8" t="s">
        <v>39</v>
      </c>
      <c r="E341" s="13" t="s">
        <v>75</v>
      </c>
    </row>
    <row r="342" spans="1:5" ht="25.5" x14ac:dyDescent="0.2">
      <c r="A342" s="6" t="str">
        <f>HYPERLINK(SUBSTITUTE(T(hl_0),"{0}","442392720455904"),hn_0)</f>
        <v>ОВ</v>
      </c>
      <c r="B342" s="7">
        <v>14700</v>
      </c>
      <c r="C342" s="8" t="s">
        <v>97</v>
      </c>
      <c r="D342" s="8" t="s">
        <v>39</v>
      </c>
      <c r="E342" s="13" t="s">
        <v>98</v>
      </c>
    </row>
    <row r="343" spans="1:5" ht="25.5" x14ac:dyDescent="0.2">
      <c r="A343" s="6" t="str">
        <f>HYPERLINK(SUBSTITUTE(T(hl_0),"{0}","442391284078494"),hn_0)</f>
        <v>ОВ</v>
      </c>
      <c r="B343" s="7">
        <v>23845</v>
      </c>
      <c r="C343" s="8" t="s">
        <v>23</v>
      </c>
      <c r="D343" s="8" t="s">
        <v>11</v>
      </c>
      <c r="E343" s="13" t="s">
        <v>24</v>
      </c>
    </row>
    <row r="344" spans="1:5" ht="25.5" x14ac:dyDescent="0.2">
      <c r="A344" s="6" t="str">
        <f>HYPERLINK(SUBSTITUTE(T(hl_0),"{0}","442389664828995"),hn_0)</f>
        <v>ОВ</v>
      </c>
      <c r="B344" s="7">
        <v>22000</v>
      </c>
      <c r="C344" s="8" t="s">
        <v>51</v>
      </c>
      <c r="D344" s="8" t="s">
        <v>19</v>
      </c>
      <c r="E344" s="13" t="s">
        <v>82</v>
      </c>
    </row>
    <row r="345" spans="1:5" ht="25.5" x14ac:dyDescent="0.2">
      <c r="A345" s="6" t="str">
        <f>HYPERLINK(SUBSTITUTE(T(hl_0),"{0}","442384043352138"),hn_0)</f>
        <v>ОВ</v>
      </c>
      <c r="B345" s="7">
        <v>17000</v>
      </c>
      <c r="C345" s="8" t="s">
        <v>191</v>
      </c>
      <c r="D345" s="8" t="s">
        <v>192</v>
      </c>
      <c r="E345" s="13" t="s">
        <v>193</v>
      </c>
    </row>
    <row r="346" spans="1:5" ht="25.5" x14ac:dyDescent="0.2">
      <c r="A346" s="6" t="str">
        <f>HYPERLINK(SUBSTITUTE(T(hl_0),"{0}","442386197352155"),hn_0)</f>
        <v>ОВ</v>
      </c>
      <c r="B346" s="7">
        <v>11860.01</v>
      </c>
      <c r="C346" s="8" t="s">
        <v>95</v>
      </c>
      <c r="D346" s="8" t="s">
        <v>11</v>
      </c>
      <c r="E346" s="13" t="s">
        <v>305</v>
      </c>
    </row>
    <row r="347" spans="1:5" ht="25.5" x14ac:dyDescent="0.2">
      <c r="A347" s="6" t="str">
        <f>HYPERLINK(SUBSTITUTE(T(hl_0),"{0}","442395315596513"),hn_0)</f>
        <v>ОВ</v>
      </c>
      <c r="B347" s="7">
        <v>8250</v>
      </c>
      <c r="C347" s="8" t="s">
        <v>306</v>
      </c>
      <c r="D347" s="8" t="s">
        <v>11</v>
      </c>
      <c r="E347" s="13" t="s">
        <v>307</v>
      </c>
    </row>
    <row r="348" spans="1:5" ht="25.5" x14ac:dyDescent="0.2">
      <c r="A348" s="6" t="str">
        <f>HYPERLINK(SUBSTITUTE(T(hl_0),"{0}","442393905068100"),hn_0)</f>
        <v>ОВ</v>
      </c>
      <c r="B348" s="7">
        <v>14000</v>
      </c>
      <c r="C348" s="8" t="s">
        <v>250</v>
      </c>
      <c r="D348" s="8" t="s">
        <v>11</v>
      </c>
      <c r="E348" s="13" t="s">
        <v>251</v>
      </c>
    </row>
    <row r="349" spans="1:5" ht="25.5" x14ac:dyDescent="0.2">
      <c r="A349" s="6" t="str">
        <f>HYPERLINK(SUBSTITUTE(T(hl_0),"{0}","442394535091440"),hn_0)</f>
        <v>ОВ</v>
      </c>
      <c r="B349" s="7">
        <v>8600</v>
      </c>
      <c r="C349" s="8" t="s">
        <v>160</v>
      </c>
      <c r="D349" s="8" t="s">
        <v>11</v>
      </c>
      <c r="E349" s="13" t="s">
        <v>308</v>
      </c>
    </row>
    <row r="350" spans="1:5" ht="38.25" x14ac:dyDescent="0.2">
      <c r="A350" s="6" t="str">
        <f>HYPERLINK(SUBSTITUTE(T(hl_0),"{0}","442394900883798"),hn_0)</f>
        <v>ОВ</v>
      </c>
      <c r="B350" s="7">
        <v>8500</v>
      </c>
      <c r="C350" s="8" t="s">
        <v>306</v>
      </c>
      <c r="D350" s="8" t="s">
        <v>11</v>
      </c>
      <c r="E350" s="13" t="s">
        <v>309</v>
      </c>
    </row>
    <row r="351" spans="1:5" ht="25.5" x14ac:dyDescent="0.2">
      <c r="A351" s="6" t="str">
        <f>HYPERLINK(SUBSTITUTE(T(hl_0),"{0}","442393905132942"),hn_0)</f>
        <v>ОВ</v>
      </c>
      <c r="B351" s="7">
        <v>8667</v>
      </c>
      <c r="C351" s="8" t="s">
        <v>15</v>
      </c>
      <c r="D351" s="8" t="s">
        <v>11</v>
      </c>
      <c r="E351" s="13" t="s">
        <v>155</v>
      </c>
    </row>
    <row r="352" spans="1:5" ht="25.5" x14ac:dyDescent="0.2">
      <c r="A352" s="6" t="str">
        <f>HYPERLINK(SUBSTITUTE(T(hl_0),"{0}","442393905102885"),hn_0)</f>
        <v>ОВ</v>
      </c>
      <c r="B352" s="7">
        <v>16000</v>
      </c>
      <c r="C352" s="8" t="s">
        <v>95</v>
      </c>
      <c r="D352" s="8" t="s">
        <v>11</v>
      </c>
      <c r="E352" s="13" t="s">
        <v>310</v>
      </c>
    </row>
    <row r="353" spans="1:5" ht="25.5" x14ac:dyDescent="0.2">
      <c r="A353" s="6" t="str">
        <f>HYPERLINK(SUBSTITUTE(T(hl_0),"{0}","442394900704149"),hn_0)</f>
        <v>ОВ</v>
      </c>
      <c r="B353" s="7">
        <v>13000</v>
      </c>
      <c r="C353" s="8" t="s">
        <v>311</v>
      </c>
      <c r="D353" s="8" t="s">
        <v>30</v>
      </c>
      <c r="E353" s="13" t="s">
        <v>312</v>
      </c>
    </row>
    <row r="354" spans="1:5" ht="25.5" x14ac:dyDescent="0.2">
      <c r="A354" s="6" t="str">
        <f>HYPERLINK(SUBSTITUTE(T(hl_0),"{0}","442393724537535"),hn_0)</f>
        <v>ОВ</v>
      </c>
      <c r="B354" s="7">
        <v>17200</v>
      </c>
      <c r="C354" s="8" t="s">
        <v>313</v>
      </c>
      <c r="D354" s="8" t="s">
        <v>30</v>
      </c>
      <c r="E354" s="13" t="s">
        <v>314</v>
      </c>
    </row>
    <row r="355" spans="1:5" ht="25.5" x14ac:dyDescent="0.2">
      <c r="A355" s="6" t="str">
        <f>HYPERLINK(SUBSTITUTE(T(hl_0),"{0}","442391470730437"),hn_0)</f>
        <v>ОВ</v>
      </c>
      <c r="B355" s="7">
        <v>20000</v>
      </c>
      <c r="C355" s="8" t="s">
        <v>315</v>
      </c>
      <c r="D355" s="8" t="s">
        <v>19</v>
      </c>
      <c r="E355" s="13" t="s">
        <v>316</v>
      </c>
    </row>
    <row r="356" spans="1:5" ht="25.5" x14ac:dyDescent="0.2">
      <c r="A356" s="6" t="str">
        <f>HYPERLINK(SUBSTITUTE(T(hl_0),"{0}","442392720432917"),hn_0)</f>
        <v>ОВ</v>
      </c>
      <c r="B356" s="7">
        <v>18815</v>
      </c>
      <c r="C356" s="8" t="s">
        <v>303</v>
      </c>
      <c r="D356" s="8" t="s">
        <v>39</v>
      </c>
      <c r="E356" s="13" t="s">
        <v>304</v>
      </c>
    </row>
    <row r="357" spans="1:5" ht="25.5" x14ac:dyDescent="0.2">
      <c r="A357" s="6" t="str">
        <f>HYPERLINK(SUBSTITUTE(T(hl_0),"{0}","442390383753893"),hn_0)</f>
        <v>ОВ</v>
      </c>
      <c r="B357" s="7">
        <v>25000</v>
      </c>
      <c r="C357" s="8" t="s">
        <v>102</v>
      </c>
      <c r="D357" s="8" t="s">
        <v>19</v>
      </c>
      <c r="E357" s="13" t="s">
        <v>198</v>
      </c>
    </row>
    <row r="358" spans="1:5" ht="25.5" x14ac:dyDescent="0.2">
      <c r="A358" s="6" t="str">
        <f>HYPERLINK(SUBSTITUTE(T(hl_0),"{0}","442391284470992"),hn_0)</f>
        <v>ОВ</v>
      </c>
      <c r="B358" s="7">
        <v>12400</v>
      </c>
      <c r="C358" s="8" t="s">
        <v>120</v>
      </c>
      <c r="D358" s="8" t="s">
        <v>11</v>
      </c>
      <c r="E358" s="13" t="s">
        <v>317</v>
      </c>
    </row>
    <row r="359" spans="1:5" ht="25.5" x14ac:dyDescent="0.2">
      <c r="A359" s="6" t="str">
        <f>HYPERLINK(SUBSTITUTE(T(hl_0),"{0}","442392720455747"),hn_0)</f>
        <v>ОВ</v>
      </c>
      <c r="B359" s="7">
        <v>14700</v>
      </c>
      <c r="C359" s="8" t="s">
        <v>97</v>
      </c>
      <c r="D359" s="8" t="s">
        <v>39</v>
      </c>
      <c r="E359" s="13" t="s">
        <v>98</v>
      </c>
    </row>
    <row r="360" spans="1:5" ht="25.5" x14ac:dyDescent="0.2">
      <c r="A360" s="6" t="str">
        <f>HYPERLINK(SUBSTITUTE(T(hl_0),"{0}","442391284074733"),hn_0)</f>
        <v>ОВ</v>
      </c>
      <c r="B360" s="7">
        <v>23845</v>
      </c>
      <c r="C360" s="8" t="s">
        <v>23</v>
      </c>
      <c r="D360" s="8" t="s">
        <v>11</v>
      </c>
      <c r="E360" s="13" t="s">
        <v>24</v>
      </c>
    </row>
    <row r="361" spans="1:5" ht="25.5" x14ac:dyDescent="0.2">
      <c r="A361" s="6" t="str">
        <f>HYPERLINK(SUBSTITUTE(T(hl_0),"{0}","442391284077282"),hn_0)</f>
        <v>ОВ</v>
      </c>
      <c r="B361" s="7">
        <v>23845</v>
      </c>
      <c r="C361" s="8" t="s">
        <v>23</v>
      </c>
      <c r="D361" s="8" t="s">
        <v>11</v>
      </c>
      <c r="E361" s="13" t="s">
        <v>24</v>
      </c>
    </row>
    <row r="362" spans="1:5" ht="25.5" x14ac:dyDescent="0.2">
      <c r="A362" s="6" t="str">
        <f>HYPERLINK(SUBSTITUTE(T(hl_0),"{0}","442391283502302"),hn_0)</f>
        <v>ОВ</v>
      </c>
      <c r="B362" s="7">
        <v>29060</v>
      </c>
      <c r="C362" s="8" t="s">
        <v>51</v>
      </c>
      <c r="D362" s="8" t="s">
        <v>11</v>
      </c>
      <c r="E362" s="13" t="s">
        <v>52</v>
      </c>
    </row>
    <row r="363" spans="1:5" ht="25.5" x14ac:dyDescent="0.2">
      <c r="A363" s="6" t="str">
        <f>HYPERLINK(SUBSTITUTE(T(hl_0),"{0}","442391435842924"),hn_0)</f>
        <v>ОВ</v>
      </c>
      <c r="B363" s="7">
        <v>17000</v>
      </c>
      <c r="C363" s="8" t="s">
        <v>122</v>
      </c>
      <c r="D363" s="8" t="s">
        <v>70</v>
      </c>
      <c r="E363" s="13" t="s">
        <v>124</v>
      </c>
    </row>
    <row r="364" spans="1:5" ht="25.5" x14ac:dyDescent="0.2">
      <c r="A364" s="6" t="str">
        <f>HYPERLINK(SUBSTITUTE(T(hl_0),"{0}","442391470372880"),hn_0)</f>
        <v>ОВ</v>
      </c>
      <c r="B364" s="7">
        <v>17000</v>
      </c>
      <c r="C364" s="8" t="s">
        <v>18</v>
      </c>
      <c r="D364" s="8" t="s">
        <v>19</v>
      </c>
      <c r="E364" s="13" t="s">
        <v>20</v>
      </c>
    </row>
    <row r="365" spans="1:5" ht="25.5" x14ac:dyDescent="0.2">
      <c r="A365" s="6" t="str">
        <f>HYPERLINK(SUBSTITUTE(T(hl_0),"{0}","442391284015427"),hn_0)</f>
        <v>ОВ</v>
      </c>
      <c r="B365" s="7">
        <v>23845</v>
      </c>
      <c r="C365" s="8" t="s">
        <v>91</v>
      </c>
      <c r="D365" s="8" t="s">
        <v>11</v>
      </c>
      <c r="E365" s="13" t="s">
        <v>92</v>
      </c>
    </row>
    <row r="366" spans="1:5" ht="38.25" x14ac:dyDescent="0.2">
      <c r="A366" s="6" t="str">
        <f>HYPERLINK(SUBSTITUTE(T(hl_0),"{0}","442389052300903"),hn_0)</f>
        <v>ОВ</v>
      </c>
      <c r="B366" s="7">
        <v>9200</v>
      </c>
      <c r="C366" s="8" t="s">
        <v>318</v>
      </c>
      <c r="D366" s="8" t="s">
        <v>11</v>
      </c>
      <c r="E366" s="13" t="s">
        <v>319</v>
      </c>
    </row>
    <row r="367" spans="1:5" ht="25.5" x14ac:dyDescent="0.2">
      <c r="A367" s="6" t="str">
        <f>HYPERLINK(SUBSTITUTE(T(hl_0),"{0}","442389665590068"),hn_0)</f>
        <v>ОВ</v>
      </c>
      <c r="B367" s="7">
        <v>22000</v>
      </c>
      <c r="C367" s="8" t="s">
        <v>51</v>
      </c>
      <c r="D367" s="8" t="s">
        <v>19</v>
      </c>
      <c r="E367" s="13" t="s">
        <v>82</v>
      </c>
    </row>
    <row r="368" spans="1:5" ht="25.5" x14ac:dyDescent="0.2">
      <c r="A368" s="6" t="str">
        <f>HYPERLINK(SUBSTITUTE(T(hl_0),"{0}","442389663874072"),hn_0)</f>
        <v>ОВ</v>
      </c>
      <c r="B368" s="7">
        <v>13900</v>
      </c>
      <c r="C368" s="8" t="s">
        <v>51</v>
      </c>
      <c r="D368" s="8" t="s">
        <v>11</v>
      </c>
      <c r="E368" s="13" t="s">
        <v>159</v>
      </c>
    </row>
    <row r="369" spans="1:5" ht="25.5" x14ac:dyDescent="0.2">
      <c r="A369" s="6" t="str">
        <f>HYPERLINK(SUBSTITUTE(T(hl_0),"{0}","442389665589932"),hn_0)</f>
        <v>ОВ</v>
      </c>
      <c r="B369" s="7">
        <v>22000</v>
      </c>
      <c r="C369" s="8" t="s">
        <v>51</v>
      </c>
      <c r="D369" s="8" t="s">
        <v>19</v>
      </c>
      <c r="E369" s="13" t="s">
        <v>82</v>
      </c>
    </row>
    <row r="370" spans="1:5" ht="25.5" x14ac:dyDescent="0.2">
      <c r="A370" s="6" t="str">
        <f>HYPERLINK(SUBSTITUTE(T(hl_0),"{0}","442389303312091"),hn_0)</f>
        <v>ОВ</v>
      </c>
      <c r="B370" s="7">
        <v>14000</v>
      </c>
      <c r="C370" s="8" t="s">
        <v>320</v>
      </c>
      <c r="D370" s="8" t="s">
        <v>321</v>
      </c>
      <c r="E370" s="13" t="s">
        <v>322</v>
      </c>
    </row>
    <row r="371" spans="1:5" ht="25.5" x14ac:dyDescent="0.2">
      <c r="A371" s="6" t="str">
        <f>HYPERLINK(SUBSTITUTE(T(hl_0),"{0}","442384237647498"),hn_0)</f>
        <v>ОВ</v>
      </c>
      <c r="B371" s="7">
        <v>8200</v>
      </c>
      <c r="C371" s="8" t="s">
        <v>323</v>
      </c>
      <c r="D371" s="8" t="s">
        <v>11</v>
      </c>
      <c r="E371" s="13" t="s">
        <v>324</v>
      </c>
    </row>
    <row r="372" spans="1:5" ht="25.5" x14ac:dyDescent="0.2">
      <c r="A372" s="6" t="str">
        <f>HYPERLINK(SUBSTITUTE(T(hl_0),"{0}","442384007149605"),hn_0)</f>
        <v>ОВ</v>
      </c>
      <c r="B372" s="7">
        <v>16000</v>
      </c>
      <c r="C372" s="8" t="s">
        <v>325</v>
      </c>
      <c r="D372" s="8" t="s">
        <v>70</v>
      </c>
      <c r="E372" s="13" t="s">
        <v>326</v>
      </c>
    </row>
    <row r="373" spans="1:5" ht="38.25" x14ac:dyDescent="0.2">
      <c r="A373" s="6" t="str">
        <f>HYPERLINK(SUBSTITUTE(T(hl_0),"{0}","442384894050886"),hn_0)</f>
        <v>ОВ</v>
      </c>
      <c r="B373" s="7">
        <v>24600</v>
      </c>
      <c r="C373" s="8" t="s">
        <v>327</v>
      </c>
      <c r="D373" s="8" t="s">
        <v>11</v>
      </c>
      <c r="E373" s="13" t="s">
        <v>328</v>
      </c>
    </row>
    <row r="374" spans="1:5" ht="25.5" x14ac:dyDescent="0.2">
      <c r="A374" s="6" t="str">
        <f>HYPERLINK(SUBSTITUTE(T(hl_0),"{0}","442385111122975"),hn_0)</f>
        <v>ОВ</v>
      </c>
      <c r="B374" s="7">
        <v>9000</v>
      </c>
      <c r="C374" s="8" t="s">
        <v>38</v>
      </c>
      <c r="D374" s="8" t="s">
        <v>39</v>
      </c>
      <c r="E374" s="13" t="s">
        <v>40</v>
      </c>
    </row>
    <row r="375" spans="1:5" ht="25.5" x14ac:dyDescent="0.2">
      <c r="A375" s="6" t="str">
        <f>HYPERLINK(SUBSTITUTE(T(hl_0),"{0}","442393905109547"),hn_0)</f>
        <v>ОВ</v>
      </c>
      <c r="B375" s="7">
        <v>14000</v>
      </c>
      <c r="C375" s="8" t="s">
        <v>141</v>
      </c>
      <c r="D375" s="8" t="s">
        <v>11</v>
      </c>
      <c r="E375" s="13" t="s">
        <v>142</v>
      </c>
    </row>
    <row r="376" spans="1:5" ht="25.5" x14ac:dyDescent="0.2">
      <c r="A376" s="6" t="str">
        <f>HYPERLINK(SUBSTITUTE(T(hl_0),"{0}","442394286150697"),hn_0)</f>
        <v>ОВ</v>
      </c>
      <c r="B376" s="7">
        <v>12000</v>
      </c>
      <c r="C376" s="8" t="s">
        <v>137</v>
      </c>
      <c r="D376" s="8" t="s">
        <v>39</v>
      </c>
      <c r="E376" s="13" t="s">
        <v>329</v>
      </c>
    </row>
    <row r="377" spans="1:5" ht="25.5" x14ac:dyDescent="0.2">
      <c r="A377" s="6" t="str">
        <f>HYPERLINK(SUBSTITUTE(T(hl_0),"{0}","442393905102907"),hn_0)</f>
        <v>ОВ</v>
      </c>
      <c r="B377" s="7">
        <v>16000</v>
      </c>
      <c r="C377" s="8" t="s">
        <v>95</v>
      </c>
      <c r="D377" s="8" t="s">
        <v>11</v>
      </c>
      <c r="E377" s="13" t="s">
        <v>310</v>
      </c>
    </row>
    <row r="378" spans="1:5" ht="25.5" x14ac:dyDescent="0.2">
      <c r="A378" s="6" t="str">
        <f>HYPERLINK(SUBSTITUTE(T(hl_0),"{0}","442394058767680"),hn_0)</f>
        <v>ОВ</v>
      </c>
      <c r="B378" s="7">
        <v>10000</v>
      </c>
      <c r="C378" s="8" t="s">
        <v>105</v>
      </c>
      <c r="D378" s="8" t="s">
        <v>11</v>
      </c>
      <c r="E378" s="13" t="s">
        <v>330</v>
      </c>
    </row>
    <row r="379" spans="1:5" ht="25.5" x14ac:dyDescent="0.2">
      <c r="A379" s="6" t="str">
        <f>HYPERLINK(SUBSTITUTE(T(hl_0),"{0}","442394535034135"),hn_0)</f>
        <v>ОВ</v>
      </c>
      <c r="B379" s="7">
        <v>8600</v>
      </c>
      <c r="C379" s="8" t="s">
        <v>105</v>
      </c>
      <c r="D379" s="8" t="s">
        <v>11</v>
      </c>
      <c r="E379" s="13" t="s">
        <v>331</v>
      </c>
    </row>
    <row r="380" spans="1:5" ht="25.5" x14ac:dyDescent="0.2">
      <c r="A380" s="6" t="str">
        <f>HYPERLINK(SUBSTITUTE(T(hl_0),"{0}","442394504740038"),hn_0)</f>
        <v>ОВ</v>
      </c>
      <c r="B380" s="7">
        <v>14617</v>
      </c>
      <c r="C380" s="8" t="s">
        <v>332</v>
      </c>
      <c r="D380" s="8" t="s">
        <v>11</v>
      </c>
      <c r="E380" s="13" t="s">
        <v>333</v>
      </c>
    </row>
    <row r="381" spans="1:5" ht="38.25" x14ac:dyDescent="0.2">
      <c r="A381" s="6" t="str">
        <f>HYPERLINK(SUBSTITUTE(T(hl_0),"{0}","442395069278698"),hn_0)</f>
        <v>ОВ</v>
      </c>
      <c r="B381" s="7">
        <v>28515</v>
      </c>
      <c r="C381" s="8" t="s">
        <v>51</v>
      </c>
      <c r="D381" s="8" t="s">
        <v>11</v>
      </c>
      <c r="E381" s="13" t="s">
        <v>87</v>
      </c>
    </row>
    <row r="382" spans="1:5" ht="25.5" x14ac:dyDescent="0.2">
      <c r="A382" s="6" t="str">
        <f>HYPERLINK(SUBSTITUTE(T(hl_0),"{0}","442391283336741"),hn_0)</f>
        <v>ОВ</v>
      </c>
      <c r="B382" s="7">
        <v>39940</v>
      </c>
      <c r="C382" s="8" t="s">
        <v>13</v>
      </c>
      <c r="D382" s="8" t="s">
        <v>11</v>
      </c>
      <c r="E382" s="13" t="s">
        <v>14</v>
      </c>
    </row>
    <row r="383" spans="1:5" ht="25.5" x14ac:dyDescent="0.2">
      <c r="A383" s="6" t="str">
        <f>HYPERLINK(SUBSTITUTE(T(hl_0),"{0}","442392721012173"),hn_0)</f>
        <v>ОВ</v>
      </c>
      <c r="B383" s="7">
        <v>18800</v>
      </c>
      <c r="C383" s="8" t="s">
        <v>95</v>
      </c>
      <c r="D383" s="8" t="s">
        <v>39</v>
      </c>
      <c r="E383" s="13" t="s">
        <v>96</v>
      </c>
    </row>
    <row r="384" spans="1:5" ht="25.5" x14ac:dyDescent="0.2">
      <c r="A384" s="6" t="str">
        <f>HYPERLINK(SUBSTITUTE(T(hl_0),"{0}","442391284014972"),hn_0)</f>
        <v>ОВ</v>
      </c>
      <c r="B384" s="7">
        <v>23845</v>
      </c>
      <c r="C384" s="8" t="s">
        <v>91</v>
      </c>
      <c r="D384" s="8" t="s">
        <v>11</v>
      </c>
      <c r="E384" s="13" t="s">
        <v>92</v>
      </c>
    </row>
    <row r="385" spans="1:5" ht="25.5" x14ac:dyDescent="0.2">
      <c r="A385" s="6" t="str">
        <f>HYPERLINK(SUBSTITUTE(T(hl_0),"{0}","442391284071518"),hn_0)</f>
        <v>ОВ</v>
      </c>
      <c r="B385" s="7">
        <v>23845</v>
      </c>
      <c r="C385" s="8" t="s">
        <v>23</v>
      </c>
      <c r="D385" s="8" t="s">
        <v>11</v>
      </c>
      <c r="E385" s="13" t="s">
        <v>24</v>
      </c>
    </row>
    <row r="386" spans="1:5" ht="25.5" x14ac:dyDescent="0.2">
      <c r="A386" s="6" t="str">
        <f>HYPERLINK(SUBSTITUTE(T(hl_0),"{0}","442391283500319"),hn_0)</f>
        <v>ОВ</v>
      </c>
      <c r="B386" s="7">
        <v>29060</v>
      </c>
      <c r="C386" s="8" t="s">
        <v>51</v>
      </c>
      <c r="D386" s="8" t="s">
        <v>11</v>
      </c>
      <c r="E386" s="13" t="s">
        <v>52</v>
      </c>
    </row>
    <row r="387" spans="1:5" ht="25.5" x14ac:dyDescent="0.2">
      <c r="A387" s="6" t="str">
        <f>HYPERLINK(SUBSTITUTE(T(hl_0),"{0}","442391470306587"),hn_0)</f>
        <v>ОВ</v>
      </c>
      <c r="B387" s="7">
        <v>25000</v>
      </c>
      <c r="C387" s="8" t="s">
        <v>13</v>
      </c>
      <c r="D387" s="8" t="s">
        <v>19</v>
      </c>
      <c r="E387" s="13" t="s">
        <v>93</v>
      </c>
    </row>
    <row r="388" spans="1:5" ht="25.5" x14ac:dyDescent="0.2">
      <c r="A388" s="6" t="str">
        <f>HYPERLINK(SUBSTITUTE(T(hl_0),"{0}","442391284075138"),hn_0)</f>
        <v>ОВ</v>
      </c>
      <c r="B388" s="7">
        <v>23845</v>
      </c>
      <c r="C388" s="8" t="s">
        <v>23</v>
      </c>
      <c r="D388" s="8" t="s">
        <v>11</v>
      </c>
      <c r="E388" s="13" t="s">
        <v>24</v>
      </c>
    </row>
    <row r="389" spans="1:5" ht="25.5" x14ac:dyDescent="0.2">
      <c r="A389" s="6" t="str">
        <f>HYPERLINK(SUBSTITUTE(T(hl_0),"{0}","442389665645046"),hn_0)</f>
        <v>ОВ</v>
      </c>
      <c r="B389" s="7">
        <v>20000</v>
      </c>
      <c r="C389" s="8" t="s">
        <v>51</v>
      </c>
      <c r="D389" s="8" t="s">
        <v>11</v>
      </c>
      <c r="E389" s="13" t="s">
        <v>288</v>
      </c>
    </row>
    <row r="390" spans="1:5" ht="25.5" x14ac:dyDescent="0.2">
      <c r="A390" s="6" t="str">
        <f>HYPERLINK(SUBSTITUTE(T(hl_0),"{0}","442388539554268"),hn_0)</f>
        <v>ОВ</v>
      </c>
      <c r="B390" s="7">
        <v>19000</v>
      </c>
      <c r="C390" s="8" t="s">
        <v>72</v>
      </c>
      <c r="D390" s="8" t="s">
        <v>334</v>
      </c>
      <c r="E390" s="13" t="s">
        <v>335</v>
      </c>
    </row>
    <row r="391" spans="1:5" ht="25.5" x14ac:dyDescent="0.2">
      <c r="A391" s="6" t="str">
        <f>HYPERLINK(SUBSTITUTE(T(hl_0),"{0}","442389663675431"),hn_0)</f>
        <v>ОВ</v>
      </c>
      <c r="B391" s="7">
        <v>13900</v>
      </c>
      <c r="C391" s="8" t="s">
        <v>51</v>
      </c>
      <c r="D391" s="8" t="s">
        <v>11</v>
      </c>
      <c r="E391" s="13" t="s">
        <v>159</v>
      </c>
    </row>
    <row r="392" spans="1:5" ht="25.5" x14ac:dyDescent="0.2">
      <c r="A392" s="6" t="str">
        <f>HYPERLINK(SUBSTITUTE(T(hl_0),"{0}","442389663873725"),hn_0)</f>
        <v>ОВ</v>
      </c>
      <c r="B392" s="7">
        <v>13900</v>
      </c>
      <c r="C392" s="8" t="s">
        <v>51</v>
      </c>
      <c r="D392" s="8" t="s">
        <v>11</v>
      </c>
      <c r="E392" s="13" t="s">
        <v>159</v>
      </c>
    </row>
    <row r="393" spans="1:5" ht="25.5" x14ac:dyDescent="0.2">
      <c r="A393" s="6" t="str">
        <f>HYPERLINK(SUBSTITUTE(T(hl_0),"{0}","442384007149103"),hn_0)</f>
        <v>ОВ</v>
      </c>
      <c r="B393" s="7">
        <v>16000</v>
      </c>
      <c r="C393" s="8" t="s">
        <v>325</v>
      </c>
      <c r="D393" s="8" t="s">
        <v>70</v>
      </c>
      <c r="E393" s="13" t="s">
        <v>326</v>
      </c>
    </row>
    <row r="394" spans="1:5" ht="25.5" x14ac:dyDescent="0.2">
      <c r="A394" s="6" t="str">
        <f>HYPERLINK(SUBSTITUTE(T(hl_0),"{0}","442386197302039"),hn_0)</f>
        <v>ОВ</v>
      </c>
      <c r="B394" s="7">
        <v>11053.05</v>
      </c>
      <c r="C394" s="8" t="s">
        <v>174</v>
      </c>
      <c r="D394" s="8" t="s">
        <v>11</v>
      </c>
      <c r="E394" s="13" t="s">
        <v>136</v>
      </c>
    </row>
    <row r="395" spans="1:5" ht="25.5" x14ac:dyDescent="0.2">
      <c r="A395" s="6" t="str">
        <f>HYPERLINK(SUBSTITUTE(T(hl_0),"{0}","442386197314996"),hn_0)</f>
        <v>ОВ</v>
      </c>
      <c r="B395" s="7">
        <v>8000</v>
      </c>
      <c r="C395" s="8" t="s">
        <v>181</v>
      </c>
      <c r="D395" s="8" t="s">
        <v>11</v>
      </c>
      <c r="E395" s="13" t="s">
        <v>182</v>
      </c>
    </row>
    <row r="396" spans="1:5" ht="25.5" x14ac:dyDescent="0.2">
      <c r="A396" s="6" t="str">
        <f>HYPERLINK(SUBSTITUTE(T(hl_0),"{0}","442395502775083"),hn_0)</f>
        <v>ОВ</v>
      </c>
      <c r="B396" s="7">
        <v>9720</v>
      </c>
      <c r="C396" s="8" t="s">
        <v>276</v>
      </c>
      <c r="D396" s="8" t="s">
        <v>11</v>
      </c>
      <c r="E396" s="13" t="s">
        <v>277</v>
      </c>
    </row>
    <row r="397" spans="1:5" ht="76.5" x14ac:dyDescent="0.2">
      <c r="A397" s="6" t="str">
        <f>HYPERLINK(SUBSTITUTE(T(hl_0),"{0}","442393653400643"),hn_0)</f>
        <v>ОВ</v>
      </c>
      <c r="B397" s="7">
        <v>14000</v>
      </c>
      <c r="C397" s="8" t="s">
        <v>41</v>
      </c>
      <c r="D397" s="8" t="s">
        <v>11</v>
      </c>
      <c r="E397" s="13" t="s">
        <v>42</v>
      </c>
    </row>
    <row r="398" spans="1:5" ht="25.5" x14ac:dyDescent="0.2">
      <c r="A398" s="6" t="str">
        <f>HYPERLINK(SUBSTITUTE(T(hl_0),"{0}","442394709576634"),hn_0)</f>
        <v>ОВ</v>
      </c>
      <c r="B398" s="7">
        <v>8000</v>
      </c>
      <c r="C398" s="8" t="s">
        <v>227</v>
      </c>
      <c r="D398" s="8" t="s">
        <v>11</v>
      </c>
      <c r="E398" s="13" t="s">
        <v>336</v>
      </c>
    </row>
    <row r="399" spans="1:5" ht="25.5" x14ac:dyDescent="0.2">
      <c r="A399" s="6" t="str">
        <f>HYPERLINK(SUBSTITUTE(T(hl_0),"{0}","442395128801646"),hn_0)</f>
        <v>ОВ</v>
      </c>
      <c r="B399" s="7">
        <v>20000</v>
      </c>
      <c r="C399" s="8" t="s">
        <v>337</v>
      </c>
      <c r="D399" s="8" t="s">
        <v>321</v>
      </c>
      <c r="E399" s="13" t="s">
        <v>338</v>
      </c>
    </row>
    <row r="400" spans="1:5" ht="25.5" x14ac:dyDescent="0.2">
      <c r="A400" s="6" t="str">
        <f>HYPERLINK(SUBSTITUTE(T(hl_0),"{0}","442393905061515"),hn_0)</f>
        <v>ОВ</v>
      </c>
      <c r="B400" s="7">
        <v>8667</v>
      </c>
      <c r="C400" s="8" t="s">
        <v>43</v>
      </c>
      <c r="D400" s="8" t="s">
        <v>11</v>
      </c>
      <c r="E400" s="13" t="s">
        <v>44</v>
      </c>
    </row>
    <row r="401" spans="1:5" ht="25.5" x14ac:dyDescent="0.2">
      <c r="A401" s="6" t="str">
        <f>HYPERLINK(SUBSTITUTE(T(hl_0),"{0}","442391142188148"),hn_0)</f>
        <v>ОВ</v>
      </c>
      <c r="B401" s="7">
        <v>18000</v>
      </c>
      <c r="C401" s="8" t="s">
        <v>21</v>
      </c>
      <c r="D401" s="8" t="s">
        <v>11</v>
      </c>
      <c r="E401" s="13" t="s">
        <v>22</v>
      </c>
    </row>
    <row r="402" spans="1:5" ht="25.5" x14ac:dyDescent="0.2">
      <c r="A402" s="6" t="str">
        <f>HYPERLINK(SUBSTITUTE(T(hl_0),"{0}","442392721628526"),hn_0)</f>
        <v>ОВ</v>
      </c>
      <c r="B402" s="7">
        <v>14700</v>
      </c>
      <c r="C402" s="8" t="s">
        <v>10</v>
      </c>
      <c r="D402" s="8" t="s">
        <v>39</v>
      </c>
      <c r="E402" s="13" t="s">
        <v>94</v>
      </c>
    </row>
    <row r="403" spans="1:5" ht="25.5" x14ac:dyDescent="0.2">
      <c r="A403" s="6" t="str">
        <f>HYPERLINK(SUBSTITUTE(T(hl_0),"{0}","442391435744083"),hn_0)</f>
        <v>ОВ</v>
      </c>
      <c r="B403" s="7">
        <v>16000</v>
      </c>
      <c r="C403" s="8" t="s">
        <v>15</v>
      </c>
      <c r="D403" s="8" t="s">
        <v>70</v>
      </c>
      <c r="E403" s="13" t="s">
        <v>339</v>
      </c>
    </row>
    <row r="404" spans="1:5" ht="25.5" x14ac:dyDescent="0.2">
      <c r="A404" s="6" t="str">
        <f>HYPERLINK(SUBSTITUTE(T(hl_0),"{0}","442391283340559"),hn_0)</f>
        <v>ОВ</v>
      </c>
      <c r="B404" s="7">
        <v>39940</v>
      </c>
      <c r="C404" s="8" t="s">
        <v>13</v>
      </c>
      <c r="D404" s="8" t="s">
        <v>11</v>
      </c>
      <c r="E404" s="13" t="s">
        <v>14</v>
      </c>
    </row>
    <row r="405" spans="1:5" ht="25.5" x14ac:dyDescent="0.2">
      <c r="A405" s="6" t="str">
        <f>HYPERLINK(SUBSTITUTE(T(hl_0),"{0}","442391435688255"),hn_0)</f>
        <v>ОВ</v>
      </c>
      <c r="B405" s="7">
        <v>20160</v>
      </c>
      <c r="C405" s="8" t="s">
        <v>69</v>
      </c>
      <c r="D405" s="8" t="s">
        <v>70</v>
      </c>
      <c r="E405" s="13" t="s">
        <v>71</v>
      </c>
    </row>
    <row r="406" spans="1:5" ht="25.5" x14ac:dyDescent="0.2">
      <c r="A406" s="6" t="str">
        <f>HYPERLINK(SUBSTITUTE(T(hl_0),"{0}","442391283284378"),hn_0)</f>
        <v>ОВ</v>
      </c>
      <c r="B406" s="7">
        <v>42050</v>
      </c>
      <c r="C406" s="8" t="s">
        <v>102</v>
      </c>
      <c r="D406" s="8" t="s">
        <v>11</v>
      </c>
      <c r="E406" s="13" t="s">
        <v>103</v>
      </c>
    </row>
    <row r="407" spans="1:5" ht="25.5" x14ac:dyDescent="0.2">
      <c r="A407" s="6" t="str">
        <f>HYPERLINK(SUBSTITUTE(T(hl_0),"{0}","442391283501541"),hn_0)</f>
        <v>ОВ</v>
      </c>
      <c r="B407" s="7">
        <v>29060</v>
      </c>
      <c r="C407" s="8" t="s">
        <v>51</v>
      </c>
      <c r="D407" s="8" t="s">
        <v>11</v>
      </c>
      <c r="E407" s="13" t="s">
        <v>52</v>
      </c>
    </row>
    <row r="408" spans="1:5" ht="25.5" x14ac:dyDescent="0.2">
      <c r="A408" s="6" t="str">
        <f>HYPERLINK(SUBSTITUTE(T(hl_0),"{0}","442391284077958"),hn_0)</f>
        <v>ОВ</v>
      </c>
      <c r="B408" s="7">
        <v>23845</v>
      </c>
      <c r="C408" s="8" t="s">
        <v>23</v>
      </c>
      <c r="D408" s="8" t="s">
        <v>11</v>
      </c>
      <c r="E408" s="13" t="s">
        <v>24</v>
      </c>
    </row>
    <row r="409" spans="1:5" ht="25.5" x14ac:dyDescent="0.2">
      <c r="A409" s="6" t="str">
        <f>HYPERLINK(SUBSTITUTE(T(hl_0),"{0}","442390483420776"),hn_0)</f>
        <v>ОВ</v>
      </c>
      <c r="B409" s="7">
        <v>8200</v>
      </c>
      <c r="C409" s="8" t="s">
        <v>340</v>
      </c>
      <c r="D409" s="8" t="s">
        <v>11</v>
      </c>
      <c r="E409" s="13" t="s">
        <v>341</v>
      </c>
    </row>
    <row r="410" spans="1:5" ht="25.5" x14ac:dyDescent="0.2">
      <c r="A410" s="6" t="str">
        <f>HYPERLINK(SUBSTITUTE(T(hl_0),"{0}","442391284078927"),hn_0)</f>
        <v>ОВ</v>
      </c>
      <c r="B410" s="7">
        <v>23845</v>
      </c>
      <c r="C410" s="8" t="s">
        <v>23</v>
      </c>
      <c r="D410" s="8" t="s">
        <v>11</v>
      </c>
      <c r="E410" s="13" t="s">
        <v>24</v>
      </c>
    </row>
    <row r="411" spans="1:5" ht="38.25" x14ac:dyDescent="0.2">
      <c r="A411" s="6" t="str">
        <f>HYPERLINK(SUBSTITUTE(T(hl_0),"{0}","442388655989030"),hn_0)</f>
        <v>ОВ</v>
      </c>
      <c r="B411" s="7">
        <v>20000</v>
      </c>
      <c r="C411" s="8" t="s">
        <v>342</v>
      </c>
      <c r="D411" s="8" t="s">
        <v>11</v>
      </c>
      <c r="E411" s="13" t="s">
        <v>343</v>
      </c>
    </row>
    <row r="412" spans="1:5" ht="25.5" x14ac:dyDescent="0.2">
      <c r="A412" s="6" t="str">
        <f>HYPERLINK(SUBSTITUTE(T(hl_0),"{0}","442384820125304"),hn_0)</f>
        <v>ОВ</v>
      </c>
      <c r="B412" s="7">
        <v>9200</v>
      </c>
      <c r="C412" s="8" t="s">
        <v>344</v>
      </c>
      <c r="D412" s="8" t="s">
        <v>11</v>
      </c>
      <c r="E412" s="13" t="s">
        <v>345</v>
      </c>
    </row>
    <row r="413" spans="1:5" ht="25.5" x14ac:dyDescent="0.2">
      <c r="A413" s="6" t="str">
        <f>HYPERLINK(SUBSTITUTE(T(hl_0),"{0}","442383741674766"),hn_0)</f>
        <v>ОВ</v>
      </c>
      <c r="B413" s="7">
        <v>13917.6</v>
      </c>
      <c r="C413" s="8" t="s">
        <v>346</v>
      </c>
      <c r="D413" s="8" t="s">
        <v>11</v>
      </c>
      <c r="E413" s="13" t="s">
        <v>347</v>
      </c>
    </row>
    <row r="414" spans="1:5" ht="51" x14ac:dyDescent="0.2">
      <c r="A414" s="6" t="str">
        <f>HYPERLINK(SUBSTITUTE(T(hl_0),"{0}","442384896070083"),hn_0)</f>
        <v>ОВ</v>
      </c>
      <c r="B414" s="7">
        <v>12000</v>
      </c>
      <c r="C414" s="8" t="s">
        <v>122</v>
      </c>
      <c r="D414" s="8" t="s">
        <v>192</v>
      </c>
      <c r="E414" s="13" t="s">
        <v>249</v>
      </c>
    </row>
    <row r="415" spans="1:5" ht="38.25" x14ac:dyDescent="0.2">
      <c r="A415" s="6" t="str">
        <f>HYPERLINK(SUBSTITUTE(T(hl_0),"{0}","442395502912204"),hn_0)</f>
        <v>ОВ</v>
      </c>
      <c r="B415" s="7">
        <v>9000</v>
      </c>
      <c r="C415" s="8" t="s">
        <v>348</v>
      </c>
      <c r="D415" s="8" t="s">
        <v>11</v>
      </c>
      <c r="E415" s="13" t="s">
        <v>349</v>
      </c>
    </row>
    <row r="416" spans="1:5" ht="25.5" x14ac:dyDescent="0.2">
      <c r="A416" s="6" t="str">
        <f>HYPERLINK(SUBSTITUTE(T(hl_0),"{0}","442395129421843"),hn_0)</f>
        <v>ОВ</v>
      </c>
      <c r="B416" s="7">
        <v>8000</v>
      </c>
      <c r="C416" s="8" t="s">
        <v>350</v>
      </c>
      <c r="D416" s="8" t="s">
        <v>11</v>
      </c>
      <c r="E416" s="13" t="s">
        <v>351</v>
      </c>
    </row>
    <row r="417" spans="1:5" ht="25.5" x14ac:dyDescent="0.2">
      <c r="A417" s="6" t="str">
        <f>HYPERLINK(SUBSTITUTE(T(hl_0),"{0}","442395128703887"),hn_0)</f>
        <v>ОВ</v>
      </c>
      <c r="B417" s="7">
        <v>20000</v>
      </c>
      <c r="C417" s="8" t="s">
        <v>222</v>
      </c>
      <c r="D417" s="8" t="s">
        <v>321</v>
      </c>
      <c r="E417" s="13" t="s">
        <v>352</v>
      </c>
    </row>
    <row r="418" spans="1:5" ht="25.5" x14ac:dyDescent="0.2">
      <c r="A418" s="6" t="str">
        <f>HYPERLINK(SUBSTITUTE(T(hl_0),"{0}","442393876671472"),hn_0)</f>
        <v>ОВ</v>
      </c>
      <c r="B418" s="7">
        <v>10000</v>
      </c>
      <c r="C418" s="8" t="s">
        <v>200</v>
      </c>
      <c r="D418" s="8" t="s">
        <v>228</v>
      </c>
      <c r="E418" s="13" t="s">
        <v>353</v>
      </c>
    </row>
    <row r="419" spans="1:5" ht="89.25" x14ac:dyDescent="0.2">
      <c r="A419" s="6" t="str">
        <f>HYPERLINK(SUBSTITUTE(T(hl_0),"{0}","442393849171703"),hn_0)</f>
        <v>ОВ</v>
      </c>
      <c r="B419" s="7">
        <v>8100</v>
      </c>
      <c r="C419" s="8" t="s">
        <v>340</v>
      </c>
      <c r="D419" s="8" t="s">
        <v>77</v>
      </c>
      <c r="E419" s="13" t="s">
        <v>354</v>
      </c>
    </row>
    <row r="420" spans="1:5" ht="25.5" x14ac:dyDescent="0.2">
      <c r="A420" s="6" t="str">
        <f>HYPERLINK(SUBSTITUTE(T(hl_0),"{0}","442391283501520"),hn_0)</f>
        <v>ОВ</v>
      </c>
      <c r="B420" s="7">
        <v>29060</v>
      </c>
      <c r="C420" s="8" t="s">
        <v>51</v>
      </c>
      <c r="D420" s="8" t="s">
        <v>11</v>
      </c>
      <c r="E420" s="13" t="s">
        <v>52</v>
      </c>
    </row>
    <row r="421" spans="1:5" ht="25.5" x14ac:dyDescent="0.2">
      <c r="A421" s="6" t="str">
        <f>HYPERLINK(SUBSTITUTE(T(hl_0),"{0}","442392721628726"),hn_0)</f>
        <v>ОВ</v>
      </c>
      <c r="B421" s="7">
        <v>14700</v>
      </c>
      <c r="C421" s="8" t="s">
        <v>10</v>
      </c>
      <c r="D421" s="8" t="s">
        <v>39</v>
      </c>
      <c r="E421" s="13" t="s">
        <v>94</v>
      </c>
    </row>
    <row r="422" spans="1:5" ht="25.5" x14ac:dyDescent="0.2">
      <c r="A422" s="6" t="str">
        <f>HYPERLINK(SUBSTITUTE(T(hl_0),"{0}","442392720698527"),hn_0)</f>
        <v>ОВ</v>
      </c>
      <c r="B422" s="7">
        <v>16100</v>
      </c>
      <c r="C422" s="8" t="s">
        <v>355</v>
      </c>
      <c r="D422" s="8" t="s">
        <v>39</v>
      </c>
      <c r="E422" s="13" t="s">
        <v>356</v>
      </c>
    </row>
    <row r="423" spans="1:5" ht="25.5" x14ac:dyDescent="0.2">
      <c r="A423" s="6" t="str">
        <f>HYPERLINK(SUBSTITUTE(T(hl_0),"{0}","442391470306881"),hn_0)</f>
        <v>ОВ</v>
      </c>
      <c r="B423" s="7">
        <v>25000</v>
      </c>
      <c r="C423" s="8" t="s">
        <v>13</v>
      </c>
      <c r="D423" s="8" t="s">
        <v>19</v>
      </c>
      <c r="E423" s="13" t="s">
        <v>93</v>
      </c>
    </row>
    <row r="424" spans="1:5" ht="25.5" x14ac:dyDescent="0.2">
      <c r="A424" s="6" t="str">
        <f>HYPERLINK(SUBSTITUTE(T(hl_0),"{0}","442391470338587"),hn_0)</f>
        <v>ОВ</v>
      </c>
      <c r="B424" s="7">
        <v>22000</v>
      </c>
      <c r="C424" s="8" t="s">
        <v>51</v>
      </c>
      <c r="D424" s="8" t="s">
        <v>19</v>
      </c>
      <c r="E424" s="13" t="s">
        <v>82</v>
      </c>
    </row>
    <row r="425" spans="1:5" ht="25.5" x14ac:dyDescent="0.2">
      <c r="A425" s="6" t="str">
        <f>HYPERLINK(SUBSTITUTE(T(hl_0),"{0}","442391470307201"),hn_0)</f>
        <v>ОВ</v>
      </c>
      <c r="B425" s="7">
        <v>25000</v>
      </c>
      <c r="C425" s="8" t="s">
        <v>13</v>
      </c>
      <c r="D425" s="8" t="s">
        <v>19</v>
      </c>
      <c r="E425" s="13" t="s">
        <v>93</v>
      </c>
    </row>
    <row r="426" spans="1:5" ht="25.5" x14ac:dyDescent="0.2">
      <c r="A426" s="6" t="str">
        <f>HYPERLINK(SUBSTITUTE(T(hl_0),"{0}","442391283313487"),hn_0)</f>
        <v>ОВ</v>
      </c>
      <c r="B426" s="7">
        <v>39940</v>
      </c>
      <c r="C426" s="8" t="s">
        <v>13</v>
      </c>
      <c r="D426" s="8" t="s">
        <v>11</v>
      </c>
      <c r="E426" s="13" t="s">
        <v>14</v>
      </c>
    </row>
    <row r="427" spans="1:5" ht="25.5" x14ac:dyDescent="0.2">
      <c r="A427" s="6" t="str">
        <f>HYPERLINK(SUBSTITUTE(T(hl_0),"{0}","442391284075999"),hn_0)</f>
        <v>ОВ</v>
      </c>
      <c r="B427" s="7">
        <v>23845</v>
      </c>
      <c r="C427" s="8" t="s">
        <v>23</v>
      </c>
      <c r="D427" s="8" t="s">
        <v>11</v>
      </c>
      <c r="E427" s="13" t="s">
        <v>24</v>
      </c>
    </row>
    <row r="428" spans="1:5" ht="25.5" x14ac:dyDescent="0.2">
      <c r="A428" s="6" t="str">
        <f>HYPERLINK(SUBSTITUTE(T(hl_0),"{0}","442392721113801"),hn_0)</f>
        <v>ОВ</v>
      </c>
      <c r="B428" s="7">
        <v>18800</v>
      </c>
      <c r="C428" s="8" t="s">
        <v>10</v>
      </c>
      <c r="D428" s="8" t="s">
        <v>39</v>
      </c>
      <c r="E428" s="13" t="s">
        <v>94</v>
      </c>
    </row>
    <row r="429" spans="1:5" ht="25.5" x14ac:dyDescent="0.2">
      <c r="A429" s="6" t="str">
        <f>HYPERLINK(SUBSTITUTE(T(hl_0),"{0}","442391284074714"),hn_0)</f>
        <v>ОВ</v>
      </c>
      <c r="B429" s="7">
        <v>23845</v>
      </c>
      <c r="C429" s="8" t="s">
        <v>23</v>
      </c>
      <c r="D429" s="8" t="s">
        <v>11</v>
      </c>
      <c r="E429" s="13" t="s">
        <v>24</v>
      </c>
    </row>
    <row r="430" spans="1:5" ht="25.5" x14ac:dyDescent="0.2">
      <c r="A430" s="6" t="str">
        <f>HYPERLINK(SUBSTITUTE(T(hl_0),"{0}","442391435842964"),hn_0)</f>
        <v>ОВ</v>
      </c>
      <c r="B430" s="7">
        <v>17000</v>
      </c>
      <c r="C430" s="8" t="s">
        <v>122</v>
      </c>
      <c r="D430" s="8" t="s">
        <v>70</v>
      </c>
      <c r="E430" s="13" t="s">
        <v>124</v>
      </c>
    </row>
    <row r="431" spans="1:5" ht="25.5" x14ac:dyDescent="0.2">
      <c r="A431" s="6" t="str">
        <f>HYPERLINK(SUBSTITUTE(T(hl_0),"{0}","442391284015495"),hn_0)</f>
        <v>ОВ</v>
      </c>
      <c r="B431" s="7">
        <v>23845</v>
      </c>
      <c r="C431" s="8" t="s">
        <v>91</v>
      </c>
      <c r="D431" s="8" t="s">
        <v>11</v>
      </c>
      <c r="E431" s="13" t="s">
        <v>92</v>
      </c>
    </row>
    <row r="432" spans="1:5" ht="25.5" x14ac:dyDescent="0.2">
      <c r="A432" s="6" t="str">
        <f>HYPERLINK(SUBSTITUTE(T(hl_0),"{0}","442391750501033"),hn_0)</f>
        <v>ОВ</v>
      </c>
      <c r="B432" s="7">
        <v>9300</v>
      </c>
      <c r="C432" s="8" t="s">
        <v>357</v>
      </c>
      <c r="D432" s="8" t="s">
        <v>11</v>
      </c>
      <c r="E432" s="13" t="s">
        <v>358</v>
      </c>
    </row>
    <row r="433" spans="1:5" ht="38.25" x14ac:dyDescent="0.2">
      <c r="A433" s="6" t="str">
        <f>HYPERLINK(SUBSTITUTE(T(hl_0),"{0}","442389665538021"),hn_0)</f>
        <v>ОВ</v>
      </c>
      <c r="B433" s="7">
        <v>23000</v>
      </c>
      <c r="C433" s="8" t="s">
        <v>122</v>
      </c>
      <c r="D433" s="8" t="s">
        <v>33</v>
      </c>
      <c r="E433" s="13" t="s">
        <v>254</v>
      </c>
    </row>
    <row r="434" spans="1:5" ht="38.25" x14ac:dyDescent="0.2">
      <c r="A434" s="6" t="str">
        <f>HYPERLINK(SUBSTITUTE(T(hl_0),"{0}","442388655989132"),hn_0)</f>
        <v>ОВ</v>
      </c>
      <c r="B434" s="7">
        <v>20000</v>
      </c>
      <c r="C434" s="8" t="s">
        <v>342</v>
      </c>
      <c r="D434" s="8" t="s">
        <v>11</v>
      </c>
      <c r="E434" s="13" t="s">
        <v>343</v>
      </c>
    </row>
    <row r="435" spans="1:5" ht="25.5" x14ac:dyDescent="0.2">
      <c r="A435" s="6" t="str">
        <f>HYPERLINK(SUBSTITUTE(T(hl_0),"{0}","442384998539045"),hn_0)</f>
        <v>ОВ</v>
      </c>
      <c r="B435" s="7">
        <v>10817</v>
      </c>
      <c r="C435" s="8" t="s">
        <v>359</v>
      </c>
      <c r="D435" s="8" t="s">
        <v>25</v>
      </c>
      <c r="E435" s="13" t="s">
        <v>360</v>
      </c>
    </row>
    <row r="436" spans="1:5" ht="25.5" x14ac:dyDescent="0.2">
      <c r="A436" s="6" t="str">
        <f>HYPERLINK(SUBSTITUTE(T(hl_0),"{0}","442386197185190"),hn_0)</f>
        <v>ОВ</v>
      </c>
      <c r="B436" s="7">
        <v>10197.33</v>
      </c>
      <c r="C436" s="8" t="s">
        <v>247</v>
      </c>
      <c r="D436" s="8" t="s">
        <v>11</v>
      </c>
      <c r="E436" s="13" t="s">
        <v>248</v>
      </c>
    </row>
    <row r="437" spans="1:5" ht="25.5" x14ac:dyDescent="0.2">
      <c r="A437" s="6" t="str">
        <f>HYPERLINK(SUBSTITUTE(T(hl_0),"{0}","442393320155719"),hn_0)</f>
        <v>ОВ</v>
      </c>
      <c r="B437" s="7">
        <v>15000</v>
      </c>
      <c r="C437" s="8" t="s">
        <v>361</v>
      </c>
      <c r="D437" s="8" t="s">
        <v>60</v>
      </c>
      <c r="E437" s="13" t="s">
        <v>362</v>
      </c>
    </row>
    <row r="438" spans="1:5" ht="25.5" x14ac:dyDescent="0.2">
      <c r="A438" s="6" t="str">
        <f>HYPERLINK(SUBSTITUTE(T(hl_0),"{0}","442393348477364"),hn_0)</f>
        <v>ОВ</v>
      </c>
      <c r="B438" s="7">
        <v>9000</v>
      </c>
      <c r="C438" s="8" t="s">
        <v>113</v>
      </c>
      <c r="D438" s="8" t="s">
        <v>77</v>
      </c>
      <c r="E438" s="13" t="s">
        <v>363</v>
      </c>
    </row>
    <row r="439" spans="1:5" ht="25.5" x14ac:dyDescent="0.2">
      <c r="A439" s="6" t="str">
        <f>HYPERLINK(SUBSTITUTE(T(hl_0),"{0}","442393905060481"),hn_0)</f>
        <v>ОВ</v>
      </c>
      <c r="B439" s="7">
        <v>8667</v>
      </c>
      <c r="C439" s="8" t="s">
        <v>43</v>
      </c>
      <c r="D439" s="8" t="s">
        <v>11</v>
      </c>
      <c r="E439" s="13" t="s">
        <v>44</v>
      </c>
    </row>
    <row r="440" spans="1:5" ht="25.5" x14ac:dyDescent="0.2">
      <c r="A440" s="6" t="str">
        <f>HYPERLINK(SUBSTITUTE(T(hl_0),"{0}","442391283284980"),hn_0)</f>
        <v>ОВ</v>
      </c>
      <c r="B440" s="7">
        <v>42050</v>
      </c>
      <c r="C440" s="8" t="s">
        <v>102</v>
      </c>
      <c r="D440" s="8" t="s">
        <v>11</v>
      </c>
      <c r="E440" s="13" t="s">
        <v>103</v>
      </c>
    </row>
    <row r="441" spans="1:5" ht="25.5" x14ac:dyDescent="0.2">
      <c r="A441" s="6" t="str">
        <f>HYPERLINK(SUBSTITUTE(T(hl_0),"{0}","442390287834989"),hn_0)</f>
        <v>ОВ</v>
      </c>
      <c r="B441" s="7">
        <v>12000</v>
      </c>
      <c r="C441" s="8" t="s">
        <v>15</v>
      </c>
      <c r="D441" s="8" t="s">
        <v>11</v>
      </c>
      <c r="E441" s="13" t="s">
        <v>50</v>
      </c>
    </row>
    <row r="442" spans="1:5" ht="25.5" x14ac:dyDescent="0.2">
      <c r="A442" s="6" t="str">
        <f>HYPERLINK(SUBSTITUTE(T(hl_0),"{0}","442392720698549"),hn_0)</f>
        <v>ОВ</v>
      </c>
      <c r="B442" s="7">
        <v>16100</v>
      </c>
      <c r="C442" s="8" t="s">
        <v>355</v>
      </c>
      <c r="D442" s="8" t="s">
        <v>39</v>
      </c>
      <c r="E442" s="13" t="s">
        <v>356</v>
      </c>
    </row>
    <row r="443" spans="1:5" ht="25.5" x14ac:dyDescent="0.2">
      <c r="A443" s="6" t="str">
        <f>HYPERLINK(SUBSTITUTE(T(hl_0),"{0}","442391435688129"),hn_0)</f>
        <v>ОВ</v>
      </c>
      <c r="B443" s="7">
        <v>20160</v>
      </c>
      <c r="C443" s="8" t="s">
        <v>69</v>
      </c>
      <c r="D443" s="8" t="s">
        <v>70</v>
      </c>
      <c r="E443" s="13" t="s">
        <v>71</v>
      </c>
    </row>
    <row r="444" spans="1:5" ht="25.5" x14ac:dyDescent="0.2">
      <c r="A444" s="6" t="str">
        <f>HYPERLINK(SUBSTITUTE(T(hl_0),"{0}","442391284077794"),hn_0)</f>
        <v>ОВ</v>
      </c>
      <c r="B444" s="7">
        <v>23845</v>
      </c>
      <c r="C444" s="8" t="s">
        <v>23</v>
      </c>
      <c r="D444" s="8" t="s">
        <v>11</v>
      </c>
      <c r="E444" s="13" t="s">
        <v>24</v>
      </c>
    </row>
    <row r="445" spans="1:5" ht="25.5" x14ac:dyDescent="0.2">
      <c r="A445" s="6" t="str">
        <f>HYPERLINK(SUBSTITUTE(T(hl_0),"{0}","442392721180218"),hn_0)</f>
        <v>ОВ</v>
      </c>
      <c r="B445" s="7">
        <v>21800</v>
      </c>
      <c r="C445" s="8" t="s">
        <v>10</v>
      </c>
      <c r="D445" s="8" t="s">
        <v>39</v>
      </c>
      <c r="E445" s="13" t="s">
        <v>94</v>
      </c>
    </row>
    <row r="446" spans="1:5" ht="25.5" x14ac:dyDescent="0.2">
      <c r="A446" s="6" t="str">
        <f>HYPERLINK(SUBSTITUTE(T(hl_0),"{0}","442391283501561"),hn_0)</f>
        <v>ОВ</v>
      </c>
      <c r="B446" s="7">
        <v>29060</v>
      </c>
      <c r="C446" s="8" t="s">
        <v>51</v>
      </c>
      <c r="D446" s="8" t="s">
        <v>11</v>
      </c>
      <c r="E446" s="13" t="s">
        <v>52</v>
      </c>
    </row>
    <row r="447" spans="1:5" ht="25.5" x14ac:dyDescent="0.2">
      <c r="A447" s="6" t="str">
        <f>HYPERLINK(SUBSTITUTE(T(hl_0),"{0}","442391284078529"),hn_0)</f>
        <v>ОВ</v>
      </c>
      <c r="B447" s="7">
        <v>23845</v>
      </c>
      <c r="C447" s="8" t="s">
        <v>23</v>
      </c>
      <c r="D447" s="8" t="s">
        <v>11</v>
      </c>
      <c r="E447" s="13" t="s">
        <v>24</v>
      </c>
    </row>
    <row r="448" spans="1:5" ht="25.5" x14ac:dyDescent="0.2">
      <c r="A448" s="6" t="str">
        <f>HYPERLINK(SUBSTITUTE(T(hl_0),"{0}","442392721194687"),hn_0)</f>
        <v>ОВ</v>
      </c>
      <c r="B448" s="7">
        <v>16400</v>
      </c>
      <c r="C448" s="8" t="s">
        <v>10</v>
      </c>
      <c r="D448" s="8" t="s">
        <v>39</v>
      </c>
      <c r="E448" s="13" t="s">
        <v>49</v>
      </c>
    </row>
    <row r="449" spans="1:5" ht="25.5" x14ac:dyDescent="0.2">
      <c r="A449" s="6" t="str">
        <f>HYPERLINK(SUBSTITUTE(T(hl_0),"{0}","442392743527273"),hn_0)</f>
        <v>ОВ</v>
      </c>
      <c r="B449" s="7">
        <v>8000</v>
      </c>
      <c r="C449" s="8" t="s">
        <v>64</v>
      </c>
      <c r="D449" s="8" t="s">
        <v>11</v>
      </c>
      <c r="E449" s="13" t="s">
        <v>364</v>
      </c>
    </row>
    <row r="450" spans="1:5" ht="25.5" x14ac:dyDescent="0.2">
      <c r="A450" s="6" t="str">
        <f>HYPERLINK(SUBSTITUTE(T(hl_0),"{0}","442392721493119"),hn_0)</f>
        <v>ОВ</v>
      </c>
      <c r="B450" s="7">
        <v>8300</v>
      </c>
      <c r="C450" s="8" t="s">
        <v>213</v>
      </c>
      <c r="D450" s="8" t="s">
        <v>11</v>
      </c>
      <c r="E450" s="13" t="s">
        <v>214</v>
      </c>
    </row>
    <row r="451" spans="1:5" ht="25.5" x14ac:dyDescent="0.2">
      <c r="A451" s="6" t="str">
        <f>HYPERLINK(SUBSTITUTE(T(hl_0),"{0}","442391283305988"),hn_0)</f>
        <v>ОВ</v>
      </c>
      <c r="B451" s="7">
        <v>39940</v>
      </c>
      <c r="C451" s="8" t="s">
        <v>13</v>
      </c>
      <c r="D451" s="8" t="s">
        <v>11</v>
      </c>
      <c r="E451" s="13" t="s">
        <v>14</v>
      </c>
    </row>
    <row r="452" spans="1:5" ht="25.5" x14ac:dyDescent="0.2">
      <c r="A452" s="6" t="str">
        <f>HYPERLINK(SUBSTITUTE(T(hl_0),"{0}","442391283312008"),hn_0)</f>
        <v>ОВ</v>
      </c>
      <c r="B452" s="7">
        <v>39940</v>
      </c>
      <c r="C452" s="8" t="s">
        <v>13</v>
      </c>
      <c r="D452" s="8" t="s">
        <v>11</v>
      </c>
      <c r="E452" s="13" t="s">
        <v>14</v>
      </c>
    </row>
    <row r="453" spans="1:5" ht="25.5" x14ac:dyDescent="0.2">
      <c r="A453" s="6" t="str">
        <f>HYPERLINK(SUBSTITUTE(T(hl_0),"{0}","442389800876772"),hn_0)</f>
        <v>ОВ</v>
      </c>
      <c r="B453" s="7">
        <v>9100</v>
      </c>
      <c r="C453" s="8" t="s">
        <v>76</v>
      </c>
      <c r="D453" s="8" t="s">
        <v>77</v>
      </c>
      <c r="E453" s="13" t="s">
        <v>78</v>
      </c>
    </row>
    <row r="454" spans="1:5" ht="25.5" x14ac:dyDescent="0.2">
      <c r="A454" s="6" t="str">
        <f>HYPERLINK(SUBSTITUTE(T(hl_0),"{0}","442383740204580"),hn_0)</f>
        <v>ОВ</v>
      </c>
      <c r="B454" s="7">
        <v>14000</v>
      </c>
      <c r="C454" s="8" t="s">
        <v>276</v>
      </c>
      <c r="D454" s="8" t="s">
        <v>11</v>
      </c>
      <c r="E454" s="13" t="s">
        <v>365</v>
      </c>
    </row>
    <row r="455" spans="1:5" ht="25.5" x14ac:dyDescent="0.2">
      <c r="A455" s="6" t="str">
        <f>HYPERLINK(SUBSTITUTE(T(hl_0),"{0}","442393905175107"),hn_0)</f>
        <v>ОВ</v>
      </c>
      <c r="B455" s="7">
        <v>14000</v>
      </c>
      <c r="C455" s="8" t="s">
        <v>76</v>
      </c>
      <c r="D455" s="8" t="s">
        <v>11</v>
      </c>
      <c r="E455" s="13" t="s">
        <v>366</v>
      </c>
    </row>
    <row r="456" spans="1:5" ht="25.5" x14ac:dyDescent="0.2">
      <c r="A456" s="6" t="str">
        <f>HYPERLINK(SUBSTITUTE(T(hl_0),"{0}","442394973209123"),hn_0)</f>
        <v>ОВ</v>
      </c>
      <c r="B456" s="7">
        <v>8000</v>
      </c>
      <c r="C456" s="8" t="s">
        <v>340</v>
      </c>
      <c r="D456" s="8" t="s">
        <v>297</v>
      </c>
      <c r="E456" s="13" t="s">
        <v>367</v>
      </c>
    </row>
    <row r="457" spans="1:5" ht="25.5" x14ac:dyDescent="0.2">
      <c r="A457" s="6" t="str">
        <f>HYPERLINK(SUBSTITUTE(T(hl_0),"{0}","442393905109646"),hn_0)</f>
        <v>ОВ</v>
      </c>
      <c r="B457" s="7">
        <v>14000</v>
      </c>
      <c r="C457" s="8" t="s">
        <v>141</v>
      </c>
      <c r="D457" s="8" t="s">
        <v>11</v>
      </c>
      <c r="E457" s="13" t="s">
        <v>142</v>
      </c>
    </row>
    <row r="458" spans="1:5" ht="25.5" x14ac:dyDescent="0.2">
      <c r="A458" s="6" t="str">
        <f>HYPERLINK(SUBSTITUTE(T(hl_0),"{0}","442380629638920"),hn_0)</f>
        <v>ОВ</v>
      </c>
      <c r="B458" s="7">
        <v>8300</v>
      </c>
      <c r="C458" s="8" t="s">
        <v>105</v>
      </c>
      <c r="D458" s="8" t="s">
        <v>11</v>
      </c>
      <c r="E458" s="13" t="s">
        <v>368</v>
      </c>
    </row>
    <row r="459" spans="1:5" ht="25.5" x14ac:dyDescent="0.2">
      <c r="A459" s="6" t="str">
        <f>HYPERLINK(SUBSTITUTE(T(hl_0),"{0}","442391284075384"),hn_0)</f>
        <v>ОВ</v>
      </c>
      <c r="B459" s="7">
        <v>23845</v>
      </c>
      <c r="C459" s="8" t="s">
        <v>23</v>
      </c>
      <c r="D459" s="8" t="s">
        <v>11</v>
      </c>
      <c r="E459" s="13" t="s">
        <v>24</v>
      </c>
    </row>
    <row r="460" spans="1:5" ht="25.5" x14ac:dyDescent="0.2">
      <c r="A460" s="6" t="str">
        <f>HYPERLINK(SUBSTITUTE(T(hl_0),"{0}","442391435688361"),hn_0)</f>
        <v>ОВ</v>
      </c>
      <c r="B460" s="7">
        <v>20160</v>
      </c>
      <c r="C460" s="8" t="s">
        <v>69</v>
      </c>
      <c r="D460" s="8" t="s">
        <v>70</v>
      </c>
      <c r="E460" s="13" t="s">
        <v>71</v>
      </c>
    </row>
    <row r="461" spans="1:5" ht="25.5" x14ac:dyDescent="0.2">
      <c r="A461" s="6" t="str">
        <f>HYPERLINK(SUBSTITUTE(T(hl_0),"{0}","442392721130100"),hn_0)</f>
        <v>ОВ</v>
      </c>
      <c r="B461" s="7">
        <v>18800</v>
      </c>
      <c r="C461" s="8" t="s">
        <v>95</v>
      </c>
      <c r="D461" s="8" t="s">
        <v>39</v>
      </c>
      <c r="E461" s="13" t="s">
        <v>96</v>
      </c>
    </row>
    <row r="462" spans="1:5" ht="25.5" x14ac:dyDescent="0.2">
      <c r="A462" s="6" t="str">
        <f>HYPERLINK(SUBSTITUTE(T(hl_0),"{0}","442390383753529"),hn_0)</f>
        <v>ОВ</v>
      </c>
      <c r="B462" s="7">
        <v>25000</v>
      </c>
      <c r="C462" s="8" t="s">
        <v>102</v>
      </c>
      <c r="D462" s="8" t="s">
        <v>19</v>
      </c>
      <c r="E462" s="13" t="s">
        <v>198</v>
      </c>
    </row>
    <row r="463" spans="1:5" ht="25.5" x14ac:dyDescent="0.2">
      <c r="A463" s="6" t="str">
        <f>HYPERLINK(SUBSTITUTE(T(hl_0),"{0}","442392720456065"),hn_0)</f>
        <v>ОВ</v>
      </c>
      <c r="B463" s="7">
        <v>14700</v>
      </c>
      <c r="C463" s="8" t="s">
        <v>97</v>
      </c>
      <c r="D463" s="8" t="s">
        <v>39</v>
      </c>
      <c r="E463" s="13" t="s">
        <v>98</v>
      </c>
    </row>
    <row r="464" spans="1:5" ht="25.5" x14ac:dyDescent="0.2">
      <c r="A464" s="6" t="str">
        <f>HYPERLINK(SUBSTITUTE(T(hl_0),"{0}","442391284076420"),hn_0)</f>
        <v>ОВ</v>
      </c>
      <c r="B464" s="7">
        <v>23845</v>
      </c>
      <c r="C464" s="8" t="s">
        <v>23</v>
      </c>
      <c r="D464" s="8" t="s">
        <v>11</v>
      </c>
      <c r="E464" s="13" t="s">
        <v>24</v>
      </c>
    </row>
    <row r="465" spans="1:5" ht="25.5" x14ac:dyDescent="0.2">
      <c r="A465" s="6" t="str">
        <f>HYPERLINK(SUBSTITUTE(T(hl_0),"{0}","442388436843283"),hn_0)</f>
        <v>ОВ</v>
      </c>
      <c r="B465" s="7">
        <v>10400</v>
      </c>
      <c r="C465" s="8" t="s">
        <v>346</v>
      </c>
      <c r="D465" s="8" t="s">
        <v>11</v>
      </c>
      <c r="E465" s="13" t="s">
        <v>369</v>
      </c>
    </row>
    <row r="466" spans="1:5" ht="51" x14ac:dyDescent="0.2">
      <c r="A466" s="6" t="str">
        <f>HYPERLINK(SUBSTITUTE(T(hl_0),"{0}","442385147802235"),hn_0)</f>
        <v>ОВ</v>
      </c>
      <c r="B466" s="7">
        <v>9000</v>
      </c>
      <c r="C466" s="8" t="s">
        <v>122</v>
      </c>
      <c r="D466" s="8" t="s">
        <v>11</v>
      </c>
      <c r="E466" s="13" t="s">
        <v>370</v>
      </c>
    </row>
    <row r="467" spans="1:5" ht="25.5" x14ac:dyDescent="0.2">
      <c r="A467" s="6" t="str">
        <f>HYPERLINK(SUBSTITUTE(T(hl_0),"{0}","442383540487202"),hn_0)</f>
        <v>ОВ</v>
      </c>
      <c r="B467" s="7">
        <v>8000</v>
      </c>
      <c r="C467" s="8" t="s">
        <v>51</v>
      </c>
      <c r="D467" s="8" t="s">
        <v>11</v>
      </c>
      <c r="E467" s="13" t="s">
        <v>288</v>
      </c>
    </row>
    <row r="468" spans="1:5" ht="38.25" x14ac:dyDescent="0.2">
      <c r="A468" s="6" t="str">
        <f>HYPERLINK(SUBSTITUTE(T(hl_0),"{0}","442395069172949"),hn_0)</f>
        <v>ОВ</v>
      </c>
      <c r="B468" s="7">
        <v>22525</v>
      </c>
      <c r="C468" s="8" t="s">
        <v>18</v>
      </c>
      <c r="D468" s="8" t="s">
        <v>11</v>
      </c>
      <c r="E468" s="13" t="s">
        <v>140</v>
      </c>
    </row>
    <row r="469" spans="1:5" ht="25.5" x14ac:dyDescent="0.2">
      <c r="A469" s="6" t="str">
        <f>HYPERLINK(SUBSTITUTE(T(hl_0),"{0}","442393529254666"),hn_0)</f>
        <v>ОВ</v>
      </c>
      <c r="B469" s="7">
        <v>8050</v>
      </c>
      <c r="C469" s="8" t="s">
        <v>141</v>
      </c>
      <c r="D469" s="8" t="s">
        <v>33</v>
      </c>
      <c r="E469" s="13" t="s">
        <v>371</v>
      </c>
    </row>
    <row r="470" spans="1:5" ht="25.5" x14ac:dyDescent="0.2">
      <c r="A470" s="6" t="str">
        <f>HYPERLINK(SUBSTITUTE(T(hl_0),"{0}","442393905061591"),hn_0)</f>
        <v>ОВ</v>
      </c>
      <c r="B470" s="7">
        <v>8667</v>
      </c>
      <c r="C470" s="8" t="s">
        <v>43</v>
      </c>
      <c r="D470" s="8" t="s">
        <v>11</v>
      </c>
      <c r="E470" s="13" t="s">
        <v>44</v>
      </c>
    </row>
    <row r="471" spans="1:5" ht="25.5" x14ac:dyDescent="0.2">
      <c r="A471" s="6" t="str">
        <f>HYPERLINK(SUBSTITUTE(T(hl_0),"{0}","442395069929790"),hn_0)</f>
        <v>ОВ</v>
      </c>
      <c r="B471" s="7">
        <v>10192</v>
      </c>
      <c r="C471" s="8" t="s">
        <v>372</v>
      </c>
      <c r="D471" s="8" t="s">
        <v>11</v>
      </c>
      <c r="E471" s="13" t="s">
        <v>373</v>
      </c>
    </row>
    <row r="472" spans="1:5" ht="25.5" x14ac:dyDescent="0.2">
      <c r="A472" s="6" t="str">
        <f>HYPERLINK(SUBSTITUTE(T(hl_0),"{0}","442394709997585"),hn_0)</f>
        <v>ОВ</v>
      </c>
      <c r="B472" s="7">
        <v>8000</v>
      </c>
      <c r="C472" s="8" t="s">
        <v>374</v>
      </c>
      <c r="D472" s="8" t="s">
        <v>77</v>
      </c>
      <c r="E472" s="13" t="s">
        <v>375</v>
      </c>
    </row>
    <row r="473" spans="1:5" ht="25.5" x14ac:dyDescent="0.2">
      <c r="A473" s="6" t="str">
        <f>HYPERLINK(SUBSTITUTE(T(hl_0),"{0}","442392384440622"),hn_0)</f>
        <v>ОВ</v>
      </c>
      <c r="B473" s="7">
        <v>8000</v>
      </c>
      <c r="C473" s="8" t="s">
        <v>141</v>
      </c>
      <c r="D473" s="8" t="s">
        <v>25</v>
      </c>
      <c r="E473" s="13" t="s">
        <v>376</v>
      </c>
    </row>
    <row r="474" spans="1:5" ht="25.5" x14ac:dyDescent="0.2">
      <c r="A474" s="6" t="str">
        <f>HYPERLINK(SUBSTITUTE(T(hl_0),"{0}","442391283499721"),hn_0)</f>
        <v>ОВ</v>
      </c>
      <c r="B474" s="7">
        <v>29060</v>
      </c>
      <c r="C474" s="8" t="s">
        <v>51</v>
      </c>
      <c r="D474" s="8" t="s">
        <v>11</v>
      </c>
      <c r="E474" s="13" t="s">
        <v>52</v>
      </c>
    </row>
    <row r="475" spans="1:5" ht="25.5" x14ac:dyDescent="0.2">
      <c r="A475" s="6" t="str">
        <f>HYPERLINK(SUBSTITUTE(T(hl_0),"{0}","442391283499382"),hn_0)</f>
        <v>ОВ</v>
      </c>
      <c r="B475" s="7">
        <v>29060</v>
      </c>
      <c r="C475" s="8" t="s">
        <v>51</v>
      </c>
      <c r="D475" s="8" t="s">
        <v>11</v>
      </c>
      <c r="E475" s="13" t="s">
        <v>52</v>
      </c>
    </row>
    <row r="476" spans="1:5" ht="25.5" x14ac:dyDescent="0.2">
      <c r="A476" s="6" t="str">
        <f>HYPERLINK(SUBSTITUTE(T(hl_0),"{0}","442391470388080"),hn_0)</f>
        <v>ОВ</v>
      </c>
      <c r="B476" s="7">
        <v>20000</v>
      </c>
      <c r="C476" s="8" t="s">
        <v>47</v>
      </c>
      <c r="D476" s="8" t="s">
        <v>19</v>
      </c>
      <c r="E476" s="13" t="s">
        <v>226</v>
      </c>
    </row>
    <row r="477" spans="1:5" ht="25.5" x14ac:dyDescent="0.2">
      <c r="A477" s="6" t="str">
        <f>HYPERLINK(SUBSTITUTE(T(hl_0),"{0}","442390448540584"),hn_0)</f>
        <v>ОВ</v>
      </c>
      <c r="B477" s="7">
        <v>8000</v>
      </c>
      <c r="C477" s="8" t="s">
        <v>105</v>
      </c>
      <c r="D477" s="8" t="s">
        <v>138</v>
      </c>
      <c r="E477" s="13" t="s">
        <v>377</v>
      </c>
    </row>
    <row r="478" spans="1:5" ht="25.5" x14ac:dyDescent="0.2">
      <c r="A478" s="6" t="str">
        <f>HYPERLINK(SUBSTITUTE(T(hl_0),"{0}","442392721132012"),hn_0)</f>
        <v>ОВ</v>
      </c>
      <c r="B478" s="7">
        <v>21800</v>
      </c>
      <c r="C478" s="8" t="s">
        <v>95</v>
      </c>
      <c r="D478" s="8" t="s">
        <v>39</v>
      </c>
      <c r="E478" s="13" t="s">
        <v>96</v>
      </c>
    </row>
    <row r="479" spans="1:5" ht="25.5" x14ac:dyDescent="0.2">
      <c r="A479" s="6" t="str">
        <f>HYPERLINK(SUBSTITUTE(T(hl_0),"{0}","442388539503767"),hn_0)</f>
        <v>ОВ</v>
      </c>
      <c r="B479" s="7">
        <v>8000</v>
      </c>
      <c r="C479" s="8" t="s">
        <v>113</v>
      </c>
      <c r="D479" s="8" t="s">
        <v>77</v>
      </c>
      <c r="E479" s="13" t="s">
        <v>378</v>
      </c>
    </row>
    <row r="480" spans="1:5" ht="25.5" x14ac:dyDescent="0.2">
      <c r="A480" s="6" t="str">
        <f>HYPERLINK(SUBSTITUTE(T(hl_0),"{0}","442389453409038"),hn_0)</f>
        <v>ОВ</v>
      </c>
      <c r="B480" s="7">
        <v>25000</v>
      </c>
      <c r="C480" s="8" t="s">
        <v>379</v>
      </c>
      <c r="D480" s="8" t="s">
        <v>33</v>
      </c>
      <c r="E480" s="13" t="s">
        <v>380</v>
      </c>
    </row>
    <row r="481" spans="1:5" ht="38.25" x14ac:dyDescent="0.2">
      <c r="A481" s="6" t="str">
        <f>HYPERLINK(SUBSTITUTE(T(hl_0),"{0}","442384081995132"),hn_0)</f>
        <v>ОВ</v>
      </c>
      <c r="B481" s="7">
        <v>8000</v>
      </c>
      <c r="C481" s="8" t="s">
        <v>105</v>
      </c>
      <c r="D481" s="8" t="s">
        <v>11</v>
      </c>
      <c r="E481" s="13" t="s">
        <v>381</v>
      </c>
    </row>
    <row r="482" spans="1:5" ht="25.5" x14ac:dyDescent="0.2">
      <c r="A482" s="6" t="str">
        <f>HYPERLINK(SUBSTITUTE(T(hl_0),"{0}","442395158253697"),hn_0)</f>
        <v>ОВ</v>
      </c>
      <c r="B482" s="7">
        <v>10000</v>
      </c>
      <c r="C482" s="8" t="s">
        <v>91</v>
      </c>
      <c r="D482" s="8" t="s">
        <v>11</v>
      </c>
      <c r="E482" s="13" t="s">
        <v>183</v>
      </c>
    </row>
    <row r="483" spans="1:5" ht="25.5" x14ac:dyDescent="0.2">
      <c r="A483" s="6" t="str">
        <f>HYPERLINK(SUBSTITUTE(T(hl_0),"{0}","442391284074970"),hn_0)</f>
        <v>ОВ</v>
      </c>
      <c r="B483" s="7">
        <v>23845</v>
      </c>
      <c r="C483" s="8" t="s">
        <v>23</v>
      </c>
      <c r="D483" s="8" t="s">
        <v>11</v>
      </c>
      <c r="E483" s="13" t="s">
        <v>24</v>
      </c>
    </row>
    <row r="484" spans="1:5" ht="25.5" x14ac:dyDescent="0.2">
      <c r="A484" s="6" t="str">
        <f>HYPERLINK(SUBSTITUTE(T(hl_0),"{0}","442391435748006"),hn_0)</f>
        <v>ОВ</v>
      </c>
      <c r="B484" s="7">
        <v>16000</v>
      </c>
      <c r="C484" s="8" t="s">
        <v>15</v>
      </c>
      <c r="D484" s="8" t="s">
        <v>70</v>
      </c>
      <c r="E484" s="13" t="s">
        <v>339</v>
      </c>
    </row>
    <row r="485" spans="1:5" ht="25.5" x14ac:dyDescent="0.2">
      <c r="A485" s="6" t="str">
        <f>HYPERLINK(SUBSTITUTE(T(hl_0),"{0}","442391142187438"),hn_0)</f>
        <v>ОВ</v>
      </c>
      <c r="B485" s="7">
        <v>18000</v>
      </c>
      <c r="C485" s="8" t="s">
        <v>21</v>
      </c>
      <c r="D485" s="8" t="s">
        <v>11</v>
      </c>
      <c r="E485" s="13" t="s">
        <v>22</v>
      </c>
    </row>
    <row r="486" spans="1:5" ht="25.5" x14ac:dyDescent="0.2">
      <c r="A486" s="6" t="str">
        <f>HYPERLINK(SUBSTITUTE(T(hl_0),"{0}","442391284075358"),hn_0)</f>
        <v>ОВ</v>
      </c>
      <c r="B486" s="7">
        <v>23845</v>
      </c>
      <c r="C486" s="8" t="s">
        <v>23</v>
      </c>
      <c r="D486" s="8" t="s">
        <v>11</v>
      </c>
      <c r="E486" s="13" t="s">
        <v>24</v>
      </c>
    </row>
    <row r="487" spans="1:5" ht="25.5" x14ac:dyDescent="0.2">
      <c r="A487" s="6" t="str">
        <f>HYPERLINK(SUBSTITUTE(T(hl_0),"{0}","442392721177127"),hn_0)</f>
        <v>ОВ</v>
      </c>
      <c r="B487" s="7">
        <v>16400</v>
      </c>
      <c r="C487" s="8" t="s">
        <v>10</v>
      </c>
      <c r="D487" s="8" t="s">
        <v>39</v>
      </c>
      <c r="E487" s="13" t="s">
        <v>49</v>
      </c>
    </row>
    <row r="488" spans="1:5" ht="25.5" x14ac:dyDescent="0.2">
      <c r="A488" s="6" t="str">
        <f>HYPERLINK(SUBSTITUTE(T(hl_0),"{0}","442392720455722"),hn_0)</f>
        <v>ОВ</v>
      </c>
      <c r="B488" s="7">
        <v>14700</v>
      </c>
      <c r="C488" s="8" t="s">
        <v>97</v>
      </c>
      <c r="D488" s="8" t="s">
        <v>39</v>
      </c>
      <c r="E488" s="13" t="s">
        <v>98</v>
      </c>
    </row>
    <row r="489" spans="1:5" ht="25.5" x14ac:dyDescent="0.2">
      <c r="A489" s="6" t="str">
        <f>HYPERLINK(SUBSTITUTE(T(hl_0),"{0}","442391470339524"),hn_0)</f>
        <v>ОВ</v>
      </c>
      <c r="B489" s="7">
        <v>22000</v>
      </c>
      <c r="C489" s="8" t="s">
        <v>51</v>
      </c>
      <c r="D489" s="8" t="s">
        <v>19</v>
      </c>
      <c r="E489" s="13" t="s">
        <v>82</v>
      </c>
    </row>
    <row r="490" spans="1:5" ht="25.5" x14ac:dyDescent="0.2">
      <c r="A490" s="6" t="str">
        <f>HYPERLINK(SUBSTITUTE(T(hl_0),"{0}","442389663675138"),hn_0)</f>
        <v>ОВ</v>
      </c>
      <c r="B490" s="7">
        <v>13900</v>
      </c>
      <c r="C490" s="8" t="s">
        <v>51</v>
      </c>
      <c r="D490" s="8" t="s">
        <v>11</v>
      </c>
      <c r="E490" s="13" t="s">
        <v>159</v>
      </c>
    </row>
    <row r="491" spans="1:5" ht="25.5" x14ac:dyDescent="0.2">
      <c r="A491" s="6" t="str">
        <f>HYPERLINK(SUBSTITUTE(T(hl_0),"{0}","442388539579562"),hn_0)</f>
        <v>ОВ</v>
      </c>
      <c r="B491" s="7">
        <v>20000</v>
      </c>
      <c r="C491" s="8" t="s">
        <v>76</v>
      </c>
      <c r="D491" s="8" t="s">
        <v>334</v>
      </c>
      <c r="E491" s="13" t="s">
        <v>382</v>
      </c>
    </row>
    <row r="492" spans="1:5" ht="25.5" x14ac:dyDescent="0.2">
      <c r="A492" s="6" t="str">
        <f>HYPERLINK(SUBSTITUTE(T(hl_0),"{0}","442389665558610"),hn_0)</f>
        <v>ОВ</v>
      </c>
      <c r="B492" s="7">
        <v>22000</v>
      </c>
      <c r="C492" s="8" t="s">
        <v>57</v>
      </c>
      <c r="D492" s="8" t="s">
        <v>33</v>
      </c>
      <c r="E492" s="13" t="s">
        <v>104</v>
      </c>
    </row>
    <row r="493" spans="1:5" ht="25.5" x14ac:dyDescent="0.2">
      <c r="A493" s="6" t="str">
        <f>HYPERLINK(SUBSTITUTE(T(hl_0),"{0}","442383740309112"),hn_0)</f>
        <v>ОВ</v>
      </c>
      <c r="B493" s="7">
        <v>21000</v>
      </c>
      <c r="C493" s="8" t="s">
        <v>220</v>
      </c>
      <c r="D493" s="8" t="s">
        <v>11</v>
      </c>
      <c r="E493" s="13" t="s">
        <v>383</v>
      </c>
    </row>
    <row r="494" spans="1:5" ht="25.5" x14ac:dyDescent="0.2">
      <c r="A494" s="6" t="str">
        <f>HYPERLINK(SUBSTITUTE(T(hl_0),"{0}","442385650120158"),hn_0)</f>
        <v>ОВ</v>
      </c>
      <c r="B494" s="7">
        <v>8000</v>
      </c>
      <c r="C494" s="8" t="s">
        <v>160</v>
      </c>
      <c r="D494" s="8" t="s">
        <v>108</v>
      </c>
      <c r="E494" s="13" t="s">
        <v>384</v>
      </c>
    </row>
    <row r="495" spans="1:5" ht="25.5" x14ac:dyDescent="0.2">
      <c r="A495" s="6" t="str">
        <f>HYPERLINK(SUBSTITUTE(T(hl_0),"{0}","442386197314942"),hn_0)</f>
        <v>ОВ</v>
      </c>
      <c r="B495" s="7">
        <v>8000</v>
      </c>
      <c r="C495" s="8" t="s">
        <v>181</v>
      </c>
      <c r="D495" s="8" t="s">
        <v>11</v>
      </c>
      <c r="E495" s="13" t="s">
        <v>182</v>
      </c>
    </row>
    <row r="496" spans="1:5" ht="25.5" x14ac:dyDescent="0.2">
      <c r="A496" s="6" t="str">
        <f>HYPERLINK(SUBSTITUTE(T(hl_0),"{0}","442385147880537"),hn_0)</f>
        <v>ОВ</v>
      </c>
      <c r="B496" s="7">
        <v>12000</v>
      </c>
      <c r="C496" s="8" t="s">
        <v>200</v>
      </c>
      <c r="D496" s="8" t="s">
        <v>11</v>
      </c>
      <c r="E496" s="13" t="s">
        <v>201</v>
      </c>
    </row>
    <row r="497" spans="1:5" ht="25.5" x14ac:dyDescent="0.2">
      <c r="A497" s="6" t="str">
        <f>HYPERLINK(SUBSTITUTE(T(hl_0),"{0}","442395530275017"),hn_0)</f>
        <v>ОВ</v>
      </c>
      <c r="B497" s="7">
        <v>9100</v>
      </c>
      <c r="C497" s="8" t="s">
        <v>239</v>
      </c>
      <c r="D497" s="8" t="s">
        <v>11</v>
      </c>
      <c r="E497" s="13" t="s">
        <v>385</v>
      </c>
    </row>
    <row r="498" spans="1:5" ht="25.5" x14ac:dyDescent="0.2">
      <c r="A498" s="6" t="str">
        <f>HYPERLINK(SUBSTITUTE(T(hl_0),"{0}","442393905068135"),hn_0)</f>
        <v>ОВ</v>
      </c>
      <c r="B498" s="7">
        <v>14000</v>
      </c>
      <c r="C498" s="8" t="s">
        <v>250</v>
      </c>
      <c r="D498" s="8" t="s">
        <v>11</v>
      </c>
      <c r="E498" s="13" t="s">
        <v>251</v>
      </c>
    </row>
    <row r="499" spans="1:5" ht="25.5" x14ac:dyDescent="0.2">
      <c r="A499" s="6" t="str">
        <f>HYPERLINK(SUBSTITUTE(T(hl_0),"{0}","442393905060976"),hn_0)</f>
        <v>ОВ</v>
      </c>
      <c r="B499" s="7">
        <v>8667</v>
      </c>
      <c r="C499" s="8" t="s">
        <v>43</v>
      </c>
      <c r="D499" s="8" t="s">
        <v>11</v>
      </c>
      <c r="E499" s="13" t="s">
        <v>44</v>
      </c>
    </row>
    <row r="500" spans="1:5" ht="38.25" x14ac:dyDescent="0.2">
      <c r="A500" s="6" t="str">
        <f>HYPERLINK(SUBSTITUTE(T(hl_0),"{0}","442395069278582"),hn_0)</f>
        <v>ОВ</v>
      </c>
      <c r="B500" s="7">
        <v>28515</v>
      </c>
      <c r="C500" s="8" t="s">
        <v>51</v>
      </c>
      <c r="D500" s="8" t="s">
        <v>11</v>
      </c>
      <c r="E500" s="13" t="s">
        <v>87</v>
      </c>
    </row>
    <row r="501" spans="1:5" ht="38.25" x14ac:dyDescent="0.2">
      <c r="A501" s="6" t="str">
        <f>HYPERLINK(SUBSTITUTE(T(hl_0),"{0}","442394504691621"),hn_0)</f>
        <v>ОВ</v>
      </c>
      <c r="B501" s="7">
        <v>14617</v>
      </c>
      <c r="C501" s="8" t="s">
        <v>194</v>
      </c>
      <c r="D501" s="8" t="s">
        <v>11</v>
      </c>
      <c r="E501" s="13" t="s">
        <v>386</v>
      </c>
    </row>
    <row r="502" spans="1:5" ht="25.5" x14ac:dyDescent="0.2">
      <c r="A502" s="6" t="str">
        <f>HYPERLINK(SUBSTITUTE(T(hl_0),"{0}","442391283305702"),hn_0)</f>
        <v>ОВ</v>
      </c>
      <c r="B502" s="7">
        <v>39940</v>
      </c>
      <c r="C502" s="8" t="s">
        <v>13</v>
      </c>
      <c r="D502" s="8" t="s">
        <v>11</v>
      </c>
      <c r="E502" s="13" t="s">
        <v>14</v>
      </c>
    </row>
    <row r="503" spans="1:5" ht="25.5" x14ac:dyDescent="0.2">
      <c r="A503" s="6" t="str">
        <f>HYPERLINK(SUBSTITUTE(T(hl_0),"{0}","442391284074440"),hn_0)</f>
        <v>ОВ</v>
      </c>
      <c r="B503" s="7">
        <v>23845</v>
      </c>
      <c r="C503" s="8" t="s">
        <v>23</v>
      </c>
      <c r="D503" s="8" t="s">
        <v>11</v>
      </c>
      <c r="E503" s="13" t="s">
        <v>24</v>
      </c>
    </row>
    <row r="504" spans="1:5" ht="25.5" x14ac:dyDescent="0.2">
      <c r="A504" s="6" t="str">
        <f>HYPERLINK(SUBSTITUTE(T(hl_0),"{0}","442390383753757"),hn_0)</f>
        <v>ОВ</v>
      </c>
      <c r="B504" s="7">
        <v>25000</v>
      </c>
      <c r="C504" s="8" t="s">
        <v>102</v>
      </c>
      <c r="D504" s="8" t="s">
        <v>19</v>
      </c>
      <c r="E504" s="13" t="s">
        <v>198</v>
      </c>
    </row>
    <row r="505" spans="1:5" ht="25.5" x14ac:dyDescent="0.2">
      <c r="A505" s="6" t="str">
        <f>HYPERLINK(SUBSTITUTE(T(hl_0),"{0}","442391470338652"),hn_0)</f>
        <v>ОВ</v>
      </c>
      <c r="B505" s="7">
        <v>22000</v>
      </c>
      <c r="C505" s="8" t="s">
        <v>51</v>
      </c>
      <c r="D505" s="8" t="s">
        <v>19</v>
      </c>
      <c r="E505" s="13" t="s">
        <v>82</v>
      </c>
    </row>
    <row r="506" spans="1:5" ht="25.5" x14ac:dyDescent="0.2">
      <c r="A506" s="6" t="str">
        <f>HYPERLINK(SUBSTITUTE(T(hl_0),"{0}","442391283283818"),hn_0)</f>
        <v>ОВ</v>
      </c>
      <c r="B506" s="7">
        <v>42050</v>
      </c>
      <c r="C506" s="8" t="s">
        <v>102</v>
      </c>
      <c r="D506" s="8" t="s">
        <v>11</v>
      </c>
      <c r="E506" s="13" t="s">
        <v>103</v>
      </c>
    </row>
    <row r="507" spans="1:5" ht="25.5" x14ac:dyDescent="0.2">
      <c r="A507" s="6" t="str">
        <f>HYPERLINK(SUBSTITUTE(T(hl_0),"{0}","442392720408305"),hn_0)</f>
        <v>ОВ</v>
      </c>
      <c r="B507" s="7">
        <v>18815</v>
      </c>
      <c r="C507" s="8" t="s">
        <v>303</v>
      </c>
      <c r="D507" s="8" t="s">
        <v>39</v>
      </c>
      <c r="E507" s="13" t="s">
        <v>304</v>
      </c>
    </row>
    <row r="508" spans="1:5" ht="25.5" x14ac:dyDescent="0.2">
      <c r="A508" s="6" t="str">
        <f>HYPERLINK(SUBSTITUTE(T(hl_0),"{0}","442391284075159"),hn_0)</f>
        <v>ОВ</v>
      </c>
      <c r="B508" s="7">
        <v>23845</v>
      </c>
      <c r="C508" s="8" t="s">
        <v>23</v>
      </c>
      <c r="D508" s="8" t="s">
        <v>11</v>
      </c>
      <c r="E508" s="13" t="s">
        <v>24</v>
      </c>
    </row>
    <row r="509" spans="1:5" ht="25.5" x14ac:dyDescent="0.2">
      <c r="A509" s="6" t="str">
        <f>HYPERLINK(SUBSTITUTE(T(hl_0),"{0}","442391718701370"),hn_0)</f>
        <v>ОВ</v>
      </c>
      <c r="B509" s="7">
        <v>8800</v>
      </c>
      <c r="C509" s="8" t="s">
        <v>227</v>
      </c>
      <c r="D509" s="8" t="s">
        <v>11</v>
      </c>
      <c r="E509" s="13" t="s">
        <v>387</v>
      </c>
    </row>
    <row r="510" spans="1:5" ht="25.5" x14ac:dyDescent="0.2">
      <c r="A510" s="6" t="str">
        <f>HYPERLINK(SUBSTITUTE(T(hl_0),"{0}","442392384346218"),hn_0)</f>
        <v>ОВ</v>
      </c>
      <c r="B510" s="7">
        <v>25000</v>
      </c>
      <c r="C510" s="8" t="s">
        <v>129</v>
      </c>
      <c r="D510" s="8" t="s">
        <v>25</v>
      </c>
      <c r="E510" s="13" t="s">
        <v>130</v>
      </c>
    </row>
    <row r="511" spans="1:5" ht="25.5" x14ac:dyDescent="0.2">
      <c r="A511" s="6" t="str">
        <f>HYPERLINK(SUBSTITUTE(T(hl_0),"{0}","442389453172488"),hn_0)</f>
        <v>ОВ</v>
      </c>
      <c r="B511" s="7">
        <v>23000</v>
      </c>
      <c r="C511" s="8" t="s">
        <v>122</v>
      </c>
      <c r="D511" s="8" t="s">
        <v>33</v>
      </c>
      <c r="E511" s="13" t="s">
        <v>388</v>
      </c>
    </row>
    <row r="512" spans="1:5" ht="25.5" x14ac:dyDescent="0.2">
      <c r="A512" s="6" t="str">
        <f>HYPERLINK(SUBSTITUTE(T(hl_0),"{0}","442389663674551"),hn_0)</f>
        <v>ОВ</v>
      </c>
      <c r="B512" s="7">
        <v>13900</v>
      </c>
      <c r="C512" s="8" t="s">
        <v>51</v>
      </c>
      <c r="D512" s="8" t="s">
        <v>11</v>
      </c>
      <c r="E512" s="13" t="s">
        <v>159</v>
      </c>
    </row>
    <row r="513" spans="1:5" ht="25.5" x14ac:dyDescent="0.2">
      <c r="A513" s="6" t="str">
        <f>HYPERLINK(SUBSTITUTE(T(hl_0),"{0}","442386610773659"),hn_0)</f>
        <v>ОВ</v>
      </c>
      <c r="B513" s="7">
        <v>8140</v>
      </c>
      <c r="C513" s="8" t="s">
        <v>107</v>
      </c>
      <c r="D513" s="8" t="s">
        <v>11</v>
      </c>
      <c r="E513" s="13" t="s">
        <v>389</v>
      </c>
    </row>
    <row r="514" spans="1:5" ht="25.5" x14ac:dyDescent="0.2">
      <c r="A514" s="6" t="str">
        <f>HYPERLINK(SUBSTITUTE(T(hl_0),"{0}","442384894093270"),hn_0)</f>
        <v>ОВ</v>
      </c>
      <c r="B514" s="7">
        <v>13700</v>
      </c>
      <c r="C514" s="8" t="s">
        <v>148</v>
      </c>
      <c r="D514" s="8" t="s">
        <v>11</v>
      </c>
      <c r="E514" s="13" t="s">
        <v>390</v>
      </c>
    </row>
    <row r="515" spans="1:5" ht="25.5" x14ac:dyDescent="0.2">
      <c r="A515" s="6" t="str">
        <f>HYPERLINK(SUBSTITUTE(T(hl_0),"{0}","442383740311436"),hn_0)</f>
        <v>ОВ</v>
      </c>
      <c r="B515" s="7">
        <v>21000</v>
      </c>
      <c r="C515" s="8" t="s">
        <v>220</v>
      </c>
      <c r="D515" s="8" t="s">
        <v>11</v>
      </c>
      <c r="E515" s="13" t="s">
        <v>383</v>
      </c>
    </row>
    <row r="516" spans="1:5" ht="25.5" x14ac:dyDescent="0.2">
      <c r="A516" s="6" t="str">
        <f>HYPERLINK(SUBSTITUTE(T(hl_0),"{0}","442385111099304"),hn_0)</f>
        <v>ОВ</v>
      </c>
      <c r="B516" s="7">
        <v>9000</v>
      </c>
      <c r="C516" s="8" t="s">
        <v>38</v>
      </c>
      <c r="D516" s="8" t="s">
        <v>39</v>
      </c>
      <c r="E516" s="13" t="s">
        <v>40</v>
      </c>
    </row>
    <row r="517" spans="1:5" ht="38.25" x14ac:dyDescent="0.2">
      <c r="A517" s="6" t="str">
        <f>HYPERLINK(SUBSTITUTE(T(hl_0),"{0}","442393905272895"),hn_0)</f>
        <v>ОВ</v>
      </c>
      <c r="B517" s="7">
        <v>15000</v>
      </c>
      <c r="C517" s="8" t="s">
        <v>234</v>
      </c>
      <c r="D517" s="8" t="s">
        <v>11</v>
      </c>
      <c r="E517" s="13" t="s">
        <v>235</v>
      </c>
    </row>
    <row r="518" spans="1:5" ht="25.5" x14ac:dyDescent="0.2">
      <c r="A518" s="6" t="str">
        <f>HYPERLINK(SUBSTITUTE(T(hl_0),"{0}","442393505161802"),hn_0)</f>
        <v>ОВ</v>
      </c>
      <c r="B518" s="7">
        <v>9200</v>
      </c>
      <c r="C518" s="8" t="s">
        <v>391</v>
      </c>
      <c r="D518" s="8" t="s">
        <v>77</v>
      </c>
      <c r="E518" s="13" t="s">
        <v>392</v>
      </c>
    </row>
    <row r="519" spans="1:5" ht="25.5" x14ac:dyDescent="0.2">
      <c r="A519" s="6" t="str">
        <f>HYPERLINK(SUBSTITUTE(T(hl_0),"{0}","442393905109664"),hn_0)</f>
        <v>ОВ</v>
      </c>
      <c r="B519" s="7">
        <v>14000</v>
      </c>
      <c r="C519" s="8" t="s">
        <v>141</v>
      </c>
      <c r="D519" s="8" t="s">
        <v>11</v>
      </c>
      <c r="E519" s="13" t="s">
        <v>142</v>
      </c>
    </row>
    <row r="520" spans="1:5" ht="25.5" x14ac:dyDescent="0.2">
      <c r="A520" s="6" t="str">
        <f>HYPERLINK(SUBSTITUTE(T(hl_0),"{0}","442392721194712"),hn_0)</f>
        <v>ОВ</v>
      </c>
      <c r="B520" s="7">
        <v>16400</v>
      </c>
      <c r="C520" s="8" t="s">
        <v>10</v>
      </c>
      <c r="D520" s="8" t="s">
        <v>39</v>
      </c>
      <c r="E520" s="13" t="s">
        <v>49</v>
      </c>
    </row>
    <row r="521" spans="1:5" ht="25.5" x14ac:dyDescent="0.2">
      <c r="A521" s="6" t="str">
        <f>HYPERLINK(SUBSTITUTE(T(hl_0),"{0}","442392720637092"),hn_0)</f>
        <v>ОВ</v>
      </c>
      <c r="B521" s="7">
        <v>16400</v>
      </c>
      <c r="C521" s="8" t="s">
        <v>53</v>
      </c>
      <c r="D521" s="8" t="s">
        <v>39</v>
      </c>
      <c r="E521" s="13" t="s">
        <v>54</v>
      </c>
    </row>
    <row r="522" spans="1:5" ht="25.5" x14ac:dyDescent="0.2">
      <c r="A522" s="6" t="str">
        <f>HYPERLINK(SUBSTITUTE(T(hl_0),"{0}","442391283283509"),hn_0)</f>
        <v>ОВ</v>
      </c>
      <c r="B522" s="7">
        <v>42050</v>
      </c>
      <c r="C522" s="8" t="s">
        <v>102</v>
      </c>
      <c r="D522" s="8" t="s">
        <v>11</v>
      </c>
      <c r="E522" s="13" t="s">
        <v>103</v>
      </c>
    </row>
    <row r="523" spans="1:5" ht="25.5" x14ac:dyDescent="0.2">
      <c r="A523" s="6" t="str">
        <f>HYPERLINK(SUBSTITUTE(T(hl_0),"{0}","442391283314810"),hn_0)</f>
        <v>ОВ</v>
      </c>
      <c r="B523" s="7">
        <v>39940</v>
      </c>
      <c r="C523" s="8" t="s">
        <v>13</v>
      </c>
      <c r="D523" s="8" t="s">
        <v>11</v>
      </c>
      <c r="E523" s="13" t="s">
        <v>14</v>
      </c>
    </row>
    <row r="524" spans="1:5" ht="25.5" x14ac:dyDescent="0.2">
      <c r="A524" s="6" t="str">
        <f>HYPERLINK(SUBSTITUTE(T(hl_0),"{0}","442391435688185"),hn_0)</f>
        <v>ОВ</v>
      </c>
      <c r="B524" s="7">
        <v>20160</v>
      </c>
      <c r="C524" s="8" t="s">
        <v>69</v>
      </c>
      <c r="D524" s="8" t="s">
        <v>70</v>
      </c>
      <c r="E524" s="13" t="s">
        <v>71</v>
      </c>
    </row>
    <row r="525" spans="1:5" ht="25.5" x14ac:dyDescent="0.2">
      <c r="A525" s="6" t="str">
        <f>HYPERLINK(SUBSTITUTE(T(hl_0),"{0}","442391283283890"),hn_0)</f>
        <v>ОВ</v>
      </c>
      <c r="B525" s="7">
        <v>42050</v>
      </c>
      <c r="C525" s="8" t="s">
        <v>102</v>
      </c>
      <c r="D525" s="8" t="s">
        <v>11</v>
      </c>
      <c r="E525" s="13" t="s">
        <v>103</v>
      </c>
    </row>
    <row r="526" spans="1:5" ht="25.5" x14ac:dyDescent="0.2">
      <c r="A526" s="6" t="str">
        <f>HYPERLINK(SUBSTITUTE(T(hl_0),"{0}","442392720455699"),hn_0)</f>
        <v>ОВ</v>
      </c>
      <c r="B526" s="7">
        <v>14700</v>
      </c>
      <c r="C526" s="8" t="s">
        <v>97</v>
      </c>
      <c r="D526" s="8" t="s">
        <v>39</v>
      </c>
      <c r="E526" s="13" t="s">
        <v>98</v>
      </c>
    </row>
    <row r="527" spans="1:5" ht="25.5" x14ac:dyDescent="0.2">
      <c r="A527" s="6" t="str">
        <f>HYPERLINK(SUBSTITUTE(T(hl_0),"{0}","442391283321302"),hn_0)</f>
        <v>ОВ</v>
      </c>
      <c r="B527" s="7">
        <v>39940</v>
      </c>
      <c r="C527" s="8" t="s">
        <v>13</v>
      </c>
      <c r="D527" s="8" t="s">
        <v>11</v>
      </c>
      <c r="E527" s="13" t="s">
        <v>14</v>
      </c>
    </row>
    <row r="528" spans="1:5" ht="25.5" x14ac:dyDescent="0.2">
      <c r="A528" s="6" t="str">
        <f>HYPERLINK(SUBSTITUTE(T(hl_0),"{0}","442392720632423"),hn_0)</f>
        <v>ОВ</v>
      </c>
      <c r="B528" s="7">
        <v>14700</v>
      </c>
      <c r="C528" s="8" t="s">
        <v>53</v>
      </c>
      <c r="D528" s="8" t="s">
        <v>39</v>
      </c>
      <c r="E528" s="13" t="s">
        <v>54</v>
      </c>
    </row>
    <row r="529" spans="1:5" ht="25.5" x14ac:dyDescent="0.2">
      <c r="A529" s="6" t="str">
        <f>HYPERLINK(SUBSTITUTE(T(hl_0),"{0}","442391470376503"),hn_0)</f>
        <v>ОВ</v>
      </c>
      <c r="B529" s="7">
        <v>17000</v>
      </c>
      <c r="C529" s="8" t="s">
        <v>18</v>
      </c>
      <c r="D529" s="8" t="s">
        <v>19</v>
      </c>
      <c r="E529" s="13" t="s">
        <v>20</v>
      </c>
    </row>
    <row r="530" spans="1:5" ht="25.5" x14ac:dyDescent="0.2">
      <c r="A530" s="6" t="str">
        <f>HYPERLINK(SUBSTITUTE(T(hl_0),"{0}","442391470376540"),hn_0)</f>
        <v>ОВ</v>
      </c>
      <c r="B530" s="7">
        <v>17000</v>
      </c>
      <c r="C530" s="8" t="s">
        <v>18</v>
      </c>
      <c r="D530" s="8" t="s">
        <v>19</v>
      </c>
      <c r="E530" s="13" t="s">
        <v>20</v>
      </c>
    </row>
    <row r="531" spans="1:5" ht="25.5" x14ac:dyDescent="0.2">
      <c r="A531" s="6" t="str">
        <f>HYPERLINK(SUBSTITUTE(T(hl_0),"{0}","442392406630306"),hn_0)</f>
        <v>ОВ</v>
      </c>
      <c r="B531" s="7">
        <v>10000</v>
      </c>
      <c r="C531" s="8" t="s">
        <v>301</v>
      </c>
      <c r="D531" s="8" t="s">
        <v>77</v>
      </c>
      <c r="E531" s="13" t="s">
        <v>302</v>
      </c>
    </row>
    <row r="532" spans="1:5" ht="25.5" x14ac:dyDescent="0.2">
      <c r="A532" s="6" t="str">
        <f>HYPERLINK(SUBSTITUTE(T(hl_0),"{0}","442386896065778"),hn_0)</f>
        <v>ОВ</v>
      </c>
      <c r="B532" s="7">
        <v>8000</v>
      </c>
      <c r="C532" s="8" t="s">
        <v>393</v>
      </c>
      <c r="D532" s="8" t="s">
        <v>394</v>
      </c>
      <c r="E532" s="13" t="s">
        <v>395</v>
      </c>
    </row>
    <row r="533" spans="1:5" ht="25.5" x14ac:dyDescent="0.2">
      <c r="A533" s="6" t="str">
        <f>HYPERLINK(SUBSTITUTE(T(hl_0),"{0}","442389800876823"),hn_0)</f>
        <v>ОВ</v>
      </c>
      <c r="B533" s="7">
        <v>9100</v>
      </c>
      <c r="C533" s="8" t="s">
        <v>76</v>
      </c>
      <c r="D533" s="8" t="s">
        <v>77</v>
      </c>
      <c r="E533" s="13" t="s">
        <v>78</v>
      </c>
    </row>
    <row r="534" spans="1:5" ht="25.5" x14ac:dyDescent="0.2">
      <c r="A534" s="6" t="str">
        <f>HYPERLINK(SUBSTITUTE(T(hl_0),"{0}","442386197266021"),hn_0)</f>
        <v>ОВ</v>
      </c>
      <c r="B534" s="7">
        <v>11478.17</v>
      </c>
      <c r="C534" s="8" t="s">
        <v>396</v>
      </c>
      <c r="D534" s="8" t="s">
        <v>11</v>
      </c>
      <c r="E534" s="13" t="s">
        <v>397</v>
      </c>
    </row>
    <row r="535" spans="1:5" ht="25.5" x14ac:dyDescent="0.2">
      <c r="A535" s="6" t="str">
        <f>HYPERLINK(SUBSTITUTE(T(hl_0),"{0}","442384583380365"),hn_0)</f>
        <v>ОВ</v>
      </c>
      <c r="B535" s="7">
        <v>8000</v>
      </c>
      <c r="C535" s="8" t="s">
        <v>398</v>
      </c>
      <c r="D535" s="8" t="s">
        <v>11</v>
      </c>
      <c r="E535" s="13" t="s">
        <v>399</v>
      </c>
    </row>
    <row r="536" spans="1:5" ht="25.5" x14ac:dyDescent="0.2">
      <c r="A536" s="6" t="str">
        <f>HYPERLINK(SUBSTITUTE(T(hl_0),"{0}","442384080815414"),hn_0)</f>
        <v>ОВ</v>
      </c>
      <c r="B536" s="7">
        <v>10000</v>
      </c>
      <c r="C536" s="8" t="s">
        <v>258</v>
      </c>
      <c r="D536" s="8" t="s">
        <v>11</v>
      </c>
      <c r="E536" s="13" t="s">
        <v>259</v>
      </c>
    </row>
    <row r="537" spans="1:5" ht="25.5" x14ac:dyDescent="0.2">
      <c r="A537" s="6" t="str">
        <f>HYPERLINK(SUBSTITUTE(T(hl_0),"{0}","442384894274851"),hn_0)</f>
        <v>ОВ</v>
      </c>
      <c r="B537" s="7">
        <v>13700</v>
      </c>
      <c r="C537" s="8" t="s">
        <v>400</v>
      </c>
      <c r="D537" s="8" t="s">
        <v>11</v>
      </c>
      <c r="E537" s="13" t="s">
        <v>401</v>
      </c>
    </row>
    <row r="538" spans="1:5" ht="25.5" x14ac:dyDescent="0.2">
      <c r="A538" s="6" t="str">
        <f>HYPERLINK(SUBSTITUTE(T(hl_0),"{0}","442384386291479"),hn_0)</f>
        <v>ОВ</v>
      </c>
      <c r="B538" s="7">
        <v>25000</v>
      </c>
      <c r="C538" s="8" t="s">
        <v>402</v>
      </c>
      <c r="D538" s="8" t="s">
        <v>11</v>
      </c>
      <c r="E538" s="13" t="s">
        <v>403</v>
      </c>
    </row>
    <row r="539" spans="1:5" ht="25.5" x14ac:dyDescent="0.2">
      <c r="A539" s="6" t="str">
        <f>HYPERLINK(SUBSTITUTE(T(hl_0),"{0}","442395373904239"),hn_0)</f>
        <v>ОВ</v>
      </c>
      <c r="B539" s="7">
        <v>8600</v>
      </c>
      <c r="C539" s="8" t="s">
        <v>145</v>
      </c>
      <c r="D539" s="8" t="s">
        <v>404</v>
      </c>
      <c r="E539" s="13" t="s">
        <v>405</v>
      </c>
    </row>
    <row r="540" spans="1:5" ht="25.5" x14ac:dyDescent="0.2">
      <c r="A540" s="6" t="str">
        <f>HYPERLINK(SUBSTITUTE(T(hl_0),"{0}","442395503134471"),hn_0)</f>
        <v>ОВ</v>
      </c>
      <c r="B540" s="7">
        <v>8400</v>
      </c>
      <c r="C540" s="8" t="s">
        <v>406</v>
      </c>
      <c r="D540" s="8" t="s">
        <v>11</v>
      </c>
      <c r="E540" s="13" t="s">
        <v>407</v>
      </c>
    </row>
    <row r="541" spans="1:5" ht="25.5" x14ac:dyDescent="0.2">
      <c r="A541" s="6" t="str">
        <f>HYPERLINK(SUBSTITUTE(T(hl_0),"{0}","442394346011704"),hn_0)</f>
        <v>ОВ</v>
      </c>
      <c r="B541" s="7">
        <v>20000</v>
      </c>
      <c r="C541" s="8" t="s">
        <v>91</v>
      </c>
      <c r="D541" s="8" t="s">
        <v>19</v>
      </c>
      <c r="E541" s="13" t="s">
        <v>158</v>
      </c>
    </row>
    <row r="542" spans="1:5" ht="25.5" x14ac:dyDescent="0.2">
      <c r="A542" s="6" t="str">
        <f>HYPERLINK(SUBSTITUTE(T(hl_0),"{0}","442394652605991"),hn_0)</f>
        <v>ОВ</v>
      </c>
      <c r="B542" s="7">
        <v>8000</v>
      </c>
      <c r="C542" s="8" t="s">
        <v>227</v>
      </c>
      <c r="D542" s="8" t="s">
        <v>408</v>
      </c>
      <c r="E542" s="13" t="s">
        <v>409</v>
      </c>
    </row>
    <row r="543" spans="1:5" ht="25.5" x14ac:dyDescent="0.2">
      <c r="A543" s="6" t="str">
        <f>HYPERLINK(SUBSTITUTE(T(hl_0),"{0}","442393905067989"),hn_0)</f>
        <v>ОВ</v>
      </c>
      <c r="B543" s="7">
        <v>14000</v>
      </c>
      <c r="C543" s="8" t="s">
        <v>250</v>
      </c>
      <c r="D543" s="8" t="s">
        <v>11</v>
      </c>
      <c r="E543" s="13" t="s">
        <v>251</v>
      </c>
    </row>
    <row r="544" spans="1:5" ht="38.25" x14ac:dyDescent="0.2">
      <c r="A544" s="6" t="str">
        <f>HYPERLINK(SUBSTITUTE(T(hl_0),"{0}","442395069172726"),hn_0)</f>
        <v>ОВ</v>
      </c>
      <c r="B544" s="7">
        <v>22525</v>
      </c>
      <c r="C544" s="8" t="s">
        <v>18</v>
      </c>
      <c r="D544" s="8" t="s">
        <v>11</v>
      </c>
      <c r="E544" s="13" t="s">
        <v>140</v>
      </c>
    </row>
    <row r="545" spans="1:5" ht="25.5" x14ac:dyDescent="0.2">
      <c r="A545" s="6" t="str">
        <f>HYPERLINK(SUBSTITUTE(T(hl_0),"{0}","442391435688045"),hn_0)</f>
        <v>ОВ</v>
      </c>
      <c r="B545" s="7">
        <v>20160</v>
      </c>
      <c r="C545" s="8" t="s">
        <v>69</v>
      </c>
      <c r="D545" s="8" t="s">
        <v>70</v>
      </c>
      <c r="E545" s="13" t="s">
        <v>71</v>
      </c>
    </row>
    <row r="546" spans="1:5" ht="25.5" x14ac:dyDescent="0.2">
      <c r="A546" s="6" t="str">
        <f>HYPERLINK(SUBSTITUTE(T(hl_0),"{0}","442392720462504"),hn_0)</f>
        <v>ОВ</v>
      </c>
      <c r="B546" s="7">
        <v>16400</v>
      </c>
      <c r="C546" s="8" t="s">
        <v>97</v>
      </c>
      <c r="D546" s="8" t="s">
        <v>39</v>
      </c>
      <c r="E546" s="13" t="s">
        <v>98</v>
      </c>
    </row>
    <row r="547" spans="1:5" ht="25.5" x14ac:dyDescent="0.2">
      <c r="A547" s="6" t="str">
        <f>HYPERLINK(SUBSTITUTE(T(hl_0),"{0}","442391284419892"),hn_0)</f>
        <v>ОВ</v>
      </c>
      <c r="B547" s="7">
        <v>24650</v>
      </c>
      <c r="C547" s="8" t="s">
        <v>260</v>
      </c>
      <c r="D547" s="8" t="s">
        <v>11</v>
      </c>
      <c r="E547" s="13" t="s">
        <v>410</v>
      </c>
    </row>
    <row r="548" spans="1:5" ht="25.5" x14ac:dyDescent="0.2">
      <c r="A548" s="6" t="str">
        <f>HYPERLINK(SUBSTITUTE(T(hl_0),"{0}","442390375316370"),hn_0)</f>
        <v>ОВ</v>
      </c>
      <c r="B548" s="7">
        <v>9000</v>
      </c>
      <c r="C548" s="8" t="s">
        <v>145</v>
      </c>
      <c r="D548" s="8" t="s">
        <v>77</v>
      </c>
      <c r="E548" s="13" t="s">
        <v>146</v>
      </c>
    </row>
    <row r="549" spans="1:5" ht="25.5" x14ac:dyDescent="0.2">
      <c r="A549" s="6" t="str">
        <f>HYPERLINK(SUBSTITUTE(T(hl_0),"{0}","442391284075340"),hn_0)</f>
        <v>ОВ</v>
      </c>
      <c r="B549" s="7">
        <v>23845</v>
      </c>
      <c r="C549" s="8" t="s">
        <v>23</v>
      </c>
      <c r="D549" s="8" t="s">
        <v>11</v>
      </c>
      <c r="E549" s="13" t="s">
        <v>24</v>
      </c>
    </row>
    <row r="550" spans="1:5" ht="25.5" x14ac:dyDescent="0.2">
      <c r="A550" s="6" t="str">
        <f>HYPERLINK(SUBSTITUTE(T(hl_0),"{0}","442391435742388"),hn_0)</f>
        <v>ОВ</v>
      </c>
      <c r="B550" s="7">
        <v>20000</v>
      </c>
      <c r="C550" s="8" t="s">
        <v>76</v>
      </c>
      <c r="D550" s="8" t="s">
        <v>70</v>
      </c>
      <c r="E550" s="13" t="s">
        <v>411</v>
      </c>
    </row>
    <row r="551" spans="1:5" ht="25.5" x14ac:dyDescent="0.2">
      <c r="A551" s="6" t="str">
        <f>HYPERLINK(SUBSTITUTE(T(hl_0),"{0}","442389451942659"),hn_0)</f>
        <v>ОВ</v>
      </c>
      <c r="B551" s="7">
        <v>25000</v>
      </c>
      <c r="C551" s="8" t="s">
        <v>32</v>
      </c>
      <c r="D551" s="8" t="s">
        <v>33</v>
      </c>
      <c r="E551" s="13" t="s">
        <v>55</v>
      </c>
    </row>
    <row r="552" spans="1:5" ht="25.5" x14ac:dyDescent="0.2">
      <c r="A552" s="6" t="str">
        <f>HYPERLINK(SUBSTITUTE(T(hl_0),"{0}","442388435627197"),hn_0)</f>
        <v>ОВ</v>
      </c>
      <c r="B552" s="7">
        <v>10585</v>
      </c>
      <c r="C552" s="8" t="s">
        <v>412</v>
      </c>
      <c r="D552" s="8" t="s">
        <v>80</v>
      </c>
      <c r="E552" s="13" t="s">
        <v>413</v>
      </c>
    </row>
    <row r="553" spans="1:5" ht="25.5" x14ac:dyDescent="0.2">
      <c r="A553" s="6" t="str">
        <f>HYPERLINK(SUBSTITUTE(T(hl_0),"{0}","442389665558629"),hn_0)</f>
        <v>ОВ</v>
      </c>
      <c r="B553" s="7">
        <v>22000</v>
      </c>
      <c r="C553" s="8" t="s">
        <v>57</v>
      </c>
      <c r="D553" s="8" t="s">
        <v>33</v>
      </c>
      <c r="E553" s="13" t="s">
        <v>104</v>
      </c>
    </row>
    <row r="554" spans="1:5" ht="25.5" x14ac:dyDescent="0.2">
      <c r="A554" s="6" t="str">
        <f>HYPERLINK(SUBSTITUTE(T(hl_0),"{0}","442389665590025"),hn_0)</f>
        <v>ОВ</v>
      </c>
      <c r="B554" s="7">
        <v>22000</v>
      </c>
      <c r="C554" s="8" t="s">
        <v>51</v>
      </c>
      <c r="D554" s="8" t="s">
        <v>19</v>
      </c>
      <c r="E554" s="13" t="s">
        <v>82</v>
      </c>
    </row>
    <row r="555" spans="1:5" ht="25.5" x14ac:dyDescent="0.2">
      <c r="A555" s="6" t="str">
        <f>HYPERLINK(SUBSTITUTE(T(hl_0),"{0}","442387673608406"),hn_0)</f>
        <v>ОВ</v>
      </c>
      <c r="B555" s="7">
        <v>8000</v>
      </c>
      <c r="C555" s="8" t="s">
        <v>145</v>
      </c>
      <c r="D555" s="8" t="s">
        <v>11</v>
      </c>
      <c r="E555" s="13" t="s">
        <v>414</v>
      </c>
    </row>
    <row r="556" spans="1:5" ht="25.5" x14ac:dyDescent="0.2">
      <c r="A556" s="6" t="str">
        <f>HYPERLINK(SUBSTITUTE(T(hl_0),"{0}","442389233914528"),hn_0)</f>
        <v>ОВ</v>
      </c>
      <c r="B556" s="7">
        <v>22000</v>
      </c>
      <c r="C556" s="8" t="s">
        <v>15</v>
      </c>
      <c r="D556" s="8" t="s">
        <v>11</v>
      </c>
      <c r="E556" s="13" t="s">
        <v>415</v>
      </c>
    </row>
    <row r="557" spans="1:5" ht="25.5" x14ac:dyDescent="0.2">
      <c r="A557" s="6" t="str">
        <f>HYPERLINK(SUBSTITUTE(T(hl_0),"{0}","442387856249943"),hn_0)</f>
        <v>ОВ</v>
      </c>
      <c r="B557" s="7">
        <v>27000</v>
      </c>
      <c r="C557" s="8" t="s">
        <v>179</v>
      </c>
      <c r="D557" s="8" t="s">
        <v>85</v>
      </c>
      <c r="E557" s="13" t="s">
        <v>180</v>
      </c>
    </row>
    <row r="558" spans="1:5" ht="38.25" x14ac:dyDescent="0.2">
      <c r="A558" s="6" t="str">
        <f>HYPERLINK(SUBSTITUTE(T(hl_0),"{0}","442388541432920"),hn_0)</f>
        <v>ОВ</v>
      </c>
      <c r="B558" s="7">
        <v>15991.92</v>
      </c>
      <c r="C558" s="8" t="s">
        <v>18</v>
      </c>
      <c r="D558" s="8" t="s">
        <v>25</v>
      </c>
      <c r="E558" s="13" t="s">
        <v>35</v>
      </c>
    </row>
    <row r="559" spans="1:5" ht="25.5" x14ac:dyDescent="0.2">
      <c r="A559" s="6" t="str">
        <f>HYPERLINK(SUBSTITUTE(T(hl_0),"{0}","442386197275762"),hn_0)</f>
        <v>ОВ</v>
      </c>
      <c r="B559" s="7">
        <v>11598.9</v>
      </c>
      <c r="C559" s="8" t="s">
        <v>247</v>
      </c>
      <c r="D559" s="8" t="s">
        <v>11</v>
      </c>
      <c r="E559" s="13" t="s">
        <v>248</v>
      </c>
    </row>
    <row r="560" spans="1:5" ht="25.5" x14ac:dyDescent="0.2">
      <c r="A560" s="6" t="str">
        <f>HYPERLINK(SUBSTITUTE(T(hl_0),"{0}","442395502883139"),hn_0)</f>
        <v>ОВ</v>
      </c>
      <c r="B560" s="7">
        <v>9500</v>
      </c>
      <c r="C560" s="8" t="s">
        <v>416</v>
      </c>
      <c r="D560" s="8" t="s">
        <v>11</v>
      </c>
      <c r="E560" s="13" t="s">
        <v>417</v>
      </c>
    </row>
    <row r="561" spans="1:5" ht="38.25" x14ac:dyDescent="0.2">
      <c r="A561" s="6" t="str">
        <f>HYPERLINK(SUBSTITUTE(T(hl_0),"{0}","442394286220787"),hn_0)</f>
        <v>ОВ</v>
      </c>
      <c r="B561" s="7">
        <v>12000</v>
      </c>
      <c r="C561" s="8" t="s">
        <v>116</v>
      </c>
      <c r="D561" s="8" t="s">
        <v>39</v>
      </c>
      <c r="E561" s="13" t="s">
        <v>117</v>
      </c>
    </row>
    <row r="562" spans="1:5" ht="25.5" x14ac:dyDescent="0.2">
      <c r="A562" s="6" t="str">
        <f>HYPERLINK(SUBSTITUTE(T(hl_0),"{0}","442393320120431"),hn_0)</f>
        <v>ОВ</v>
      </c>
      <c r="B562" s="7">
        <v>9000</v>
      </c>
      <c r="C562" s="8" t="s">
        <v>107</v>
      </c>
      <c r="D562" s="8" t="s">
        <v>77</v>
      </c>
      <c r="E562" s="13" t="s">
        <v>418</v>
      </c>
    </row>
    <row r="563" spans="1:5" ht="25.5" x14ac:dyDescent="0.2">
      <c r="A563" s="6" t="str">
        <f>HYPERLINK(SUBSTITUTE(T(hl_0),"{0}","442393905090656"),hn_0)</f>
        <v>ОВ</v>
      </c>
      <c r="B563" s="7">
        <v>14000</v>
      </c>
      <c r="C563" s="8" t="s">
        <v>194</v>
      </c>
      <c r="D563" s="8" t="s">
        <v>11</v>
      </c>
      <c r="E563" s="13" t="s">
        <v>419</v>
      </c>
    </row>
    <row r="564" spans="1:5" ht="25.5" x14ac:dyDescent="0.2">
      <c r="A564" s="6" t="str">
        <f>HYPERLINK(SUBSTITUTE(T(hl_0),"{0}","442393905109484"),hn_0)</f>
        <v>ОВ</v>
      </c>
      <c r="B564" s="7">
        <v>14000</v>
      </c>
      <c r="C564" s="8" t="s">
        <v>141</v>
      </c>
      <c r="D564" s="8" t="s">
        <v>11</v>
      </c>
      <c r="E564" s="13" t="s">
        <v>142</v>
      </c>
    </row>
    <row r="565" spans="1:5" ht="38.25" x14ac:dyDescent="0.2">
      <c r="A565" s="6" t="str">
        <f>HYPERLINK(SUBSTITUTE(T(hl_0),"{0}","442395069113646"),hn_0)</f>
        <v>ОВ</v>
      </c>
      <c r="B565" s="7">
        <v>30242</v>
      </c>
      <c r="C565" s="8" t="s">
        <v>211</v>
      </c>
      <c r="D565" s="8" t="s">
        <v>11</v>
      </c>
      <c r="E565" s="13" t="s">
        <v>420</v>
      </c>
    </row>
    <row r="566" spans="1:5" ht="76.5" x14ac:dyDescent="0.2">
      <c r="A566" s="6" t="str">
        <f>HYPERLINK(SUBSTITUTE(T(hl_0),"{0}","442393653400740"),hn_0)</f>
        <v>ОВ</v>
      </c>
      <c r="B566" s="7">
        <v>14000</v>
      </c>
      <c r="C566" s="8" t="s">
        <v>41</v>
      </c>
      <c r="D566" s="8" t="s">
        <v>11</v>
      </c>
      <c r="E566" s="13" t="s">
        <v>42</v>
      </c>
    </row>
    <row r="567" spans="1:5" ht="25.5" x14ac:dyDescent="0.2">
      <c r="A567" s="6" t="str">
        <f>HYPERLINK(SUBSTITUTE(T(hl_0),"{0}","442390287904801"),hn_0)</f>
        <v>ОВ</v>
      </c>
      <c r="B567" s="7">
        <v>20000</v>
      </c>
      <c r="C567" s="8" t="s">
        <v>45</v>
      </c>
      <c r="D567" s="8" t="s">
        <v>11</v>
      </c>
      <c r="E567" s="13" t="s">
        <v>99</v>
      </c>
    </row>
    <row r="568" spans="1:5" ht="25.5" x14ac:dyDescent="0.2">
      <c r="A568" s="6" t="str">
        <f>HYPERLINK(SUBSTITUTE(T(hl_0),"{0}","442392766858016"),hn_0)</f>
        <v>ОВ</v>
      </c>
      <c r="B568" s="7">
        <v>8900</v>
      </c>
      <c r="C568" s="8" t="s">
        <v>421</v>
      </c>
      <c r="D568" s="8" t="s">
        <v>11</v>
      </c>
      <c r="E568" s="13" t="s">
        <v>422</v>
      </c>
    </row>
    <row r="569" spans="1:5" ht="25.5" x14ac:dyDescent="0.2">
      <c r="A569" s="6" t="str">
        <f>HYPERLINK(SUBSTITUTE(T(hl_0),"{0}","442390287834950"),hn_0)</f>
        <v>ОВ</v>
      </c>
      <c r="B569" s="7">
        <v>12000</v>
      </c>
      <c r="C569" s="8" t="s">
        <v>15</v>
      </c>
      <c r="D569" s="8" t="s">
        <v>11</v>
      </c>
      <c r="E569" s="13" t="s">
        <v>50</v>
      </c>
    </row>
    <row r="570" spans="1:5" ht="25.5" x14ac:dyDescent="0.2">
      <c r="A570" s="6" t="str">
        <f>HYPERLINK(SUBSTITUTE(T(hl_0),"{0}","442391283284673"),hn_0)</f>
        <v>ОВ</v>
      </c>
      <c r="B570" s="7">
        <v>42050</v>
      </c>
      <c r="C570" s="8" t="s">
        <v>102</v>
      </c>
      <c r="D570" s="8" t="s">
        <v>11</v>
      </c>
      <c r="E570" s="13" t="s">
        <v>103</v>
      </c>
    </row>
    <row r="571" spans="1:5" ht="25.5" x14ac:dyDescent="0.2">
      <c r="A571" s="6" t="str">
        <f>HYPERLINK(SUBSTITUTE(T(hl_0),"{0}","442392406628587"),hn_0)</f>
        <v>ОВ</v>
      </c>
      <c r="B571" s="7">
        <v>10000</v>
      </c>
      <c r="C571" s="8" t="s">
        <v>423</v>
      </c>
      <c r="D571" s="8" t="s">
        <v>77</v>
      </c>
      <c r="E571" s="13" t="s">
        <v>424</v>
      </c>
    </row>
    <row r="572" spans="1:5" ht="25.5" x14ac:dyDescent="0.2">
      <c r="A572" s="6" t="str">
        <f>HYPERLINK(SUBSTITUTE(T(hl_0),"{0}","442392406636527"),hn_0)</f>
        <v>ОВ</v>
      </c>
      <c r="B572" s="7">
        <v>10000</v>
      </c>
      <c r="C572" s="8" t="s">
        <v>425</v>
      </c>
      <c r="D572" s="8" t="s">
        <v>77</v>
      </c>
      <c r="E572" s="13" t="s">
        <v>426</v>
      </c>
    </row>
    <row r="573" spans="1:5" ht="25.5" x14ac:dyDescent="0.2">
      <c r="A573" s="6" t="str">
        <f>HYPERLINK(SUBSTITUTE(T(hl_0),"{0}","442391435811693"),hn_0)</f>
        <v>ОВ</v>
      </c>
      <c r="B573" s="7">
        <v>17000</v>
      </c>
      <c r="C573" s="8" t="s">
        <v>72</v>
      </c>
      <c r="D573" s="8" t="s">
        <v>70</v>
      </c>
      <c r="E573" s="13" t="s">
        <v>427</v>
      </c>
    </row>
    <row r="574" spans="1:5" ht="25.5" x14ac:dyDescent="0.2">
      <c r="A574" s="6" t="str">
        <f>HYPERLINK(SUBSTITUTE(T(hl_0),"{0}","442391283284467"),hn_0)</f>
        <v>ОВ</v>
      </c>
      <c r="B574" s="7">
        <v>42050</v>
      </c>
      <c r="C574" s="8" t="s">
        <v>102</v>
      </c>
      <c r="D574" s="8" t="s">
        <v>11</v>
      </c>
      <c r="E574" s="13" t="s">
        <v>103</v>
      </c>
    </row>
    <row r="575" spans="1:5" ht="25.5" x14ac:dyDescent="0.2">
      <c r="A575" s="6" t="str">
        <f>HYPERLINK(SUBSTITUTE(T(hl_0),"{0}","442392721628465"),hn_0)</f>
        <v>ОВ</v>
      </c>
      <c r="B575" s="7">
        <v>14700</v>
      </c>
      <c r="C575" s="8" t="s">
        <v>10</v>
      </c>
      <c r="D575" s="8" t="s">
        <v>39</v>
      </c>
      <c r="E575" s="13" t="s">
        <v>94</v>
      </c>
    </row>
    <row r="576" spans="1:5" ht="25.5" x14ac:dyDescent="0.2">
      <c r="A576" s="6" t="str">
        <f>HYPERLINK(SUBSTITUTE(T(hl_0),"{0}","442391283307447"),hn_0)</f>
        <v>ОВ</v>
      </c>
      <c r="B576" s="7">
        <v>39940</v>
      </c>
      <c r="C576" s="8" t="s">
        <v>13</v>
      </c>
      <c r="D576" s="8" t="s">
        <v>11</v>
      </c>
      <c r="E576" s="13" t="s">
        <v>14</v>
      </c>
    </row>
    <row r="577" spans="1:5" ht="25.5" x14ac:dyDescent="0.2">
      <c r="A577" s="6" t="str">
        <f>HYPERLINK(SUBSTITUTE(T(hl_0),"{0}","442390287808091"),hn_0)</f>
        <v>ОВ</v>
      </c>
      <c r="B577" s="7">
        <v>20000</v>
      </c>
      <c r="C577" s="8" t="s">
        <v>141</v>
      </c>
      <c r="D577" s="8" t="s">
        <v>11</v>
      </c>
      <c r="E577" s="13" t="s">
        <v>199</v>
      </c>
    </row>
    <row r="578" spans="1:5" ht="25.5" x14ac:dyDescent="0.2">
      <c r="A578" s="6" t="str">
        <f>HYPERLINK(SUBSTITUTE(T(hl_0),"{0}","442391470338621"),hn_0)</f>
        <v>ОВ</v>
      </c>
      <c r="B578" s="7">
        <v>22000</v>
      </c>
      <c r="C578" s="8" t="s">
        <v>51</v>
      </c>
      <c r="D578" s="8" t="s">
        <v>19</v>
      </c>
      <c r="E578" s="13" t="s">
        <v>82</v>
      </c>
    </row>
    <row r="579" spans="1:5" ht="25.5" x14ac:dyDescent="0.2">
      <c r="A579" s="6" t="str">
        <f>HYPERLINK(SUBSTITUTE(T(hl_0),"{0}","442389665646445"),hn_0)</f>
        <v>ОВ</v>
      </c>
      <c r="B579" s="7">
        <v>20000</v>
      </c>
      <c r="C579" s="8" t="s">
        <v>51</v>
      </c>
      <c r="D579" s="8" t="s">
        <v>11</v>
      </c>
      <c r="E579" s="13" t="s">
        <v>288</v>
      </c>
    </row>
    <row r="580" spans="1:5" ht="25.5" x14ac:dyDescent="0.2">
      <c r="A580" s="6" t="str">
        <f>HYPERLINK(SUBSTITUTE(T(hl_0),"{0}","442387858446610"),hn_0)</f>
        <v>ОВ</v>
      </c>
      <c r="B580" s="7">
        <v>8000</v>
      </c>
      <c r="C580" s="8" t="s">
        <v>428</v>
      </c>
      <c r="D580" s="8" t="s">
        <v>429</v>
      </c>
      <c r="E580" s="13" t="s">
        <v>430</v>
      </c>
    </row>
    <row r="581" spans="1:5" ht="25.5" x14ac:dyDescent="0.2">
      <c r="A581" s="6" t="str">
        <f>HYPERLINK(SUBSTITUTE(T(hl_0),"{0}","442388472178141"),hn_0)</f>
        <v>ОВ</v>
      </c>
      <c r="B581" s="7">
        <v>10000</v>
      </c>
      <c r="C581" s="8" t="s">
        <v>107</v>
      </c>
      <c r="D581" s="8" t="s">
        <v>77</v>
      </c>
      <c r="E581" s="13" t="s">
        <v>431</v>
      </c>
    </row>
    <row r="582" spans="1:5" ht="25.5" x14ac:dyDescent="0.2">
      <c r="A582" s="6" t="str">
        <f>HYPERLINK(SUBSTITUTE(T(hl_0),"{0}","442388541226566"),hn_0)</f>
        <v>ОВ</v>
      </c>
      <c r="B582" s="7">
        <v>9550</v>
      </c>
      <c r="C582" s="8" t="s">
        <v>432</v>
      </c>
      <c r="D582" s="8" t="s">
        <v>11</v>
      </c>
      <c r="E582" s="13" t="s">
        <v>433</v>
      </c>
    </row>
    <row r="583" spans="1:5" ht="25.5" x14ac:dyDescent="0.2">
      <c r="A583" s="6" t="str">
        <f>HYPERLINK(SUBSTITUTE(T(hl_0),"{0}","442384043352340"),hn_0)</f>
        <v>ОВ</v>
      </c>
      <c r="B583" s="7">
        <v>17000</v>
      </c>
      <c r="C583" s="8" t="s">
        <v>191</v>
      </c>
      <c r="D583" s="8" t="s">
        <v>192</v>
      </c>
      <c r="E583" s="13" t="s">
        <v>193</v>
      </c>
    </row>
    <row r="584" spans="1:5" ht="25.5" x14ac:dyDescent="0.2">
      <c r="A584" s="6" t="str">
        <f>HYPERLINK(SUBSTITUTE(T(hl_0),"{0}","442386197271236"),hn_0)</f>
        <v>ОВ</v>
      </c>
      <c r="B584" s="7">
        <v>10197.33</v>
      </c>
      <c r="C584" s="8" t="s">
        <v>247</v>
      </c>
      <c r="D584" s="8" t="s">
        <v>11</v>
      </c>
      <c r="E584" s="13" t="s">
        <v>248</v>
      </c>
    </row>
    <row r="585" spans="1:5" ht="25.5" x14ac:dyDescent="0.2">
      <c r="A585" s="6" t="str">
        <f>HYPERLINK(SUBSTITUTE(T(hl_0),"{0}","442394900954372"),hn_0)</f>
        <v>ОВ</v>
      </c>
      <c r="B585" s="7">
        <v>8500</v>
      </c>
      <c r="C585" s="8" t="s">
        <v>434</v>
      </c>
      <c r="D585" s="8" t="s">
        <v>11</v>
      </c>
      <c r="E585" s="13" t="s">
        <v>435</v>
      </c>
    </row>
    <row r="586" spans="1:5" ht="25.5" x14ac:dyDescent="0.2">
      <c r="A586" s="6" t="str">
        <f>HYPERLINK(SUBSTITUTE(T(hl_0),"{0}","442393905117603"),hn_0)</f>
        <v>ОВ</v>
      </c>
      <c r="B586" s="7">
        <v>14000</v>
      </c>
      <c r="C586" s="8" t="s">
        <v>45</v>
      </c>
      <c r="D586" s="8" t="s">
        <v>11</v>
      </c>
      <c r="E586" s="13" t="s">
        <v>46</v>
      </c>
    </row>
    <row r="587" spans="1:5" ht="25.5" x14ac:dyDescent="0.2">
      <c r="A587" s="6" t="str">
        <f>HYPERLINK(SUBSTITUTE(T(hl_0),"{0}","442394286116346"),hn_0)</f>
        <v>ОВ</v>
      </c>
      <c r="B587" s="7">
        <v>15000</v>
      </c>
      <c r="C587" s="8" t="s">
        <v>105</v>
      </c>
      <c r="D587" s="8" t="s">
        <v>39</v>
      </c>
      <c r="E587" s="13" t="s">
        <v>115</v>
      </c>
    </row>
    <row r="588" spans="1:5" ht="25.5" x14ac:dyDescent="0.2">
      <c r="A588" s="6" t="str">
        <f>HYPERLINK(SUBSTITUTE(T(hl_0),"{0}","442394535073461"),hn_0)</f>
        <v>ОВ</v>
      </c>
      <c r="B588" s="7">
        <v>8700</v>
      </c>
      <c r="C588" s="8" t="s">
        <v>107</v>
      </c>
      <c r="D588" s="8" t="s">
        <v>11</v>
      </c>
      <c r="E588" s="13" t="s">
        <v>436</v>
      </c>
    </row>
    <row r="589" spans="1:5" ht="25.5" x14ac:dyDescent="0.2">
      <c r="A589" s="6" t="str">
        <f>HYPERLINK(SUBSTITUTE(T(hl_0),"{0}","442391284014814"),hn_0)</f>
        <v>ОВ</v>
      </c>
      <c r="B589" s="7">
        <v>23845</v>
      </c>
      <c r="C589" s="8" t="s">
        <v>91</v>
      </c>
      <c r="D589" s="8" t="s">
        <v>11</v>
      </c>
      <c r="E589" s="13" t="s">
        <v>92</v>
      </c>
    </row>
    <row r="590" spans="1:5" ht="38.25" x14ac:dyDescent="0.2">
      <c r="A590" s="6" t="str">
        <f>HYPERLINK(SUBSTITUTE(T(hl_0),"{0}","442391784343011"),hn_0)</f>
        <v>ОВ</v>
      </c>
      <c r="B590" s="7">
        <v>8000</v>
      </c>
      <c r="C590" s="8" t="s">
        <v>437</v>
      </c>
      <c r="D590" s="8" t="s">
        <v>11</v>
      </c>
      <c r="E590" s="13" t="s">
        <v>438</v>
      </c>
    </row>
    <row r="591" spans="1:5" ht="25.5" x14ac:dyDescent="0.2">
      <c r="A591" s="6" t="str">
        <f>HYPERLINK(SUBSTITUTE(T(hl_0),"{0}","442390287808170"),hn_0)</f>
        <v>ОВ</v>
      </c>
      <c r="B591" s="7">
        <v>20000</v>
      </c>
      <c r="C591" s="8" t="s">
        <v>141</v>
      </c>
      <c r="D591" s="8" t="s">
        <v>11</v>
      </c>
      <c r="E591" s="13" t="s">
        <v>199</v>
      </c>
    </row>
    <row r="592" spans="1:5" ht="25.5" x14ac:dyDescent="0.2">
      <c r="A592" s="6" t="str">
        <f>HYPERLINK(SUBSTITUTE(T(hl_0),"{0}","442391470339082"),hn_0)</f>
        <v>ОВ</v>
      </c>
      <c r="B592" s="7">
        <v>22000</v>
      </c>
      <c r="C592" s="8" t="s">
        <v>51</v>
      </c>
      <c r="D592" s="8" t="s">
        <v>19</v>
      </c>
      <c r="E592" s="13" t="s">
        <v>82</v>
      </c>
    </row>
    <row r="593" spans="1:5" ht="25.5" x14ac:dyDescent="0.2">
      <c r="A593" s="6" t="str">
        <f>HYPERLINK(SUBSTITUTE(T(hl_0),"{0}","442391470307220"),hn_0)</f>
        <v>ОВ</v>
      </c>
      <c r="B593" s="7">
        <v>25000</v>
      </c>
      <c r="C593" s="8" t="s">
        <v>13</v>
      </c>
      <c r="D593" s="8" t="s">
        <v>19</v>
      </c>
      <c r="E593" s="13" t="s">
        <v>93</v>
      </c>
    </row>
    <row r="594" spans="1:5" ht="25.5" x14ac:dyDescent="0.2">
      <c r="A594" s="6" t="str">
        <f>HYPERLINK(SUBSTITUTE(T(hl_0),"{0}","442391435688309"),hn_0)</f>
        <v>ОВ</v>
      </c>
      <c r="B594" s="7">
        <v>20160</v>
      </c>
      <c r="C594" s="8" t="s">
        <v>69</v>
      </c>
      <c r="D594" s="8" t="s">
        <v>70</v>
      </c>
      <c r="E594" s="13" t="s">
        <v>71</v>
      </c>
    </row>
    <row r="595" spans="1:5" ht="25.5" x14ac:dyDescent="0.2">
      <c r="A595" s="6" t="str">
        <f>HYPERLINK(SUBSTITUTE(T(hl_0),"{0}","442391283307102"),hn_0)</f>
        <v>ОВ</v>
      </c>
      <c r="B595" s="7">
        <v>39940</v>
      </c>
      <c r="C595" s="8" t="s">
        <v>13</v>
      </c>
      <c r="D595" s="8" t="s">
        <v>11</v>
      </c>
      <c r="E595" s="13" t="s">
        <v>14</v>
      </c>
    </row>
    <row r="596" spans="1:5" ht="25.5" x14ac:dyDescent="0.2">
      <c r="A596" s="6" t="str">
        <f>HYPERLINK(SUBSTITUTE(T(hl_0),"{0}","442391284078912"),hn_0)</f>
        <v>ОВ</v>
      </c>
      <c r="B596" s="7">
        <v>23845</v>
      </c>
      <c r="C596" s="8" t="s">
        <v>23</v>
      </c>
      <c r="D596" s="8" t="s">
        <v>11</v>
      </c>
      <c r="E596" s="13" t="s">
        <v>24</v>
      </c>
    </row>
    <row r="597" spans="1:5" ht="25.5" x14ac:dyDescent="0.2">
      <c r="A597" s="6" t="str">
        <f>HYPERLINK(SUBSTITUTE(T(hl_0),"{0}","442389233913977"),hn_0)</f>
        <v>ОВ</v>
      </c>
      <c r="B597" s="7">
        <v>22000</v>
      </c>
      <c r="C597" s="8" t="s">
        <v>15</v>
      </c>
      <c r="D597" s="8" t="s">
        <v>11</v>
      </c>
      <c r="E597" s="13" t="s">
        <v>415</v>
      </c>
    </row>
    <row r="598" spans="1:5" ht="25.5" x14ac:dyDescent="0.2">
      <c r="A598" s="6" t="str">
        <f>HYPERLINK(SUBSTITUTE(T(hl_0),"{0}","442388541479097"),hn_0)</f>
        <v>ОВ</v>
      </c>
      <c r="B598" s="7">
        <v>19578</v>
      </c>
      <c r="C598" s="8" t="s">
        <v>286</v>
      </c>
      <c r="D598" s="8" t="s">
        <v>25</v>
      </c>
      <c r="E598" s="13" t="s">
        <v>287</v>
      </c>
    </row>
    <row r="599" spans="1:5" ht="25.5" x14ac:dyDescent="0.2">
      <c r="A599" s="6" t="str">
        <f>HYPERLINK(SUBSTITUTE(T(hl_0),"{0}","442389663679381"),hn_0)</f>
        <v>ОВ</v>
      </c>
      <c r="B599" s="7">
        <v>13900</v>
      </c>
      <c r="C599" s="8" t="s">
        <v>51</v>
      </c>
      <c r="D599" s="8" t="s">
        <v>11</v>
      </c>
      <c r="E599" s="13" t="s">
        <v>159</v>
      </c>
    </row>
    <row r="600" spans="1:5" ht="25.5" x14ac:dyDescent="0.2">
      <c r="A600" s="6" t="str">
        <f>HYPERLINK(SUBSTITUTE(T(hl_0),"{0}","442389453408982"),hn_0)</f>
        <v>ОВ</v>
      </c>
      <c r="B600" s="7">
        <v>25000</v>
      </c>
      <c r="C600" s="8" t="s">
        <v>379</v>
      </c>
      <c r="D600" s="8" t="s">
        <v>33</v>
      </c>
      <c r="E600" s="13" t="s">
        <v>380</v>
      </c>
    </row>
    <row r="601" spans="1:5" ht="25.5" x14ac:dyDescent="0.2">
      <c r="A601" s="6" t="str">
        <f>HYPERLINK(SUBSTITUTE(T(hl_0),"{0}","442389665558705"),hn_0)</f>
        <v>ОВ</v>
      </c>
      <c r="B601" s="7">
        <v>22000</v>
      </c>
      <c r="C601" s="8" t="s">
        <v>57</v>
      </c>
      <c r="D601" s="8" t="s">
        <v>33</v>
      </c>
      <c r="E601" s="13" t="s">
        <v>104</v>
      </c>
    </row>
    <row r="602" spans="1:5" ht="25.5" x14ac:dyDescent="0.2">
      <c r="A602" s="6" t="str">
        <f>HYPERLINK(SUBSTITUTE(T(hl_0),"{0}","442383740199288"),hn_0)</f>
        <v>ОВ</v>
      </c>
      <c r="B602" s="7">
        <v>14000</v>
      </c>
      <c r="C602" s="8" t="s">
        <v>276</v>
      </c>
      <c r="D602" s="8" t="s">
        <v>11</v>
      </c>
      <c r="E602" s="13" t="s">
        <v>365</v>
      </c>
    </row>
    <row r="603" spans="1:5" ht="25.5" x14ac:dyDescent="0.2">
      <c r="A603" s="6" t="str">
        <f>HYPERLINK(SUBSTITUTE(T(hl_0),"{0}","442393905117544"),hn_0)</f>
        <v>ОВ</v>
      </c>
      <c r="B603" s="7">
        <v>14000</v>
      </c>
      <c r="C603" s="8" t="s">
        <v>45</v>
      </c>
      <c r="D603" s="8" t="s">
        <v>11</v>
      </c>
      <c r="E603" s="13" t="s">
        <v>46</v>
      </c>
    </row>
    <row r="604" spans="1:5" ht="25.5" x14ac:dyDescent="0.2">
      <c r="A604" s="6" t="str">
        <f>HYPERLINK(SUBSTITUTE(T(hl_0),"{0}","442391283502275"),hn_0)</f>
        <v>ОВ</v>
      </c>
      <c r="B604" s="7">
        <v>29060</v>
      </c>
      <c r="C604" s="8" t="s">
        <v>51</v>
      </c>
      <c r="D604" s="8" t="s">
        <v>11</v>
      </c>
      <c r="E604" s="13" t="s">
        <v>52</v>
      </c>
    </row>
    <row r="605" spans="1:5" ht="25.5" x14ac:dyDescent="0.2">
      <c r="A605" s="6" t="str">
        <f>HYPERLINK(SUBSTITUTE(T(hl_0),"{0}","442392720462883"),hn_0)</f>
        <v>ОВ</v>
      </c>
      <c r="B605" s="7">
        <v>16400</v>
      </c>
      <c r="C605" s="8" t="s">
        <v>97</v>
      </c>
      <c r="D605" s="8" t="s">
        <v>39</v>
      </c>
      <c r="E605" s="13" t="s">
        <v>98</v>
      </c>
    </row>
    <row r="606" spans="1:5" ht="25.5" x14ac:dyDescent="0.2">
      <c r="A606" s="6" t="str">
        <f>HYPERLINK(SUBSTITUTE(T(hl_0),"{0}","442391284075533"),hn_0)</f>
        <v>ОВ</v>
      </c>
      <c r="B606" s="7">
        <v>23845</v>
      </c>
      <c r="C606" s="8" t="s">
        <v>23</v>
      </c>
      <c r="D606" s="8" t="s">
        <v>11</v>
      </c>
      <c r="E606" s="13" t="s">
        <v>24</v>
      </c>
    </row>
    <row r="607" spans="1:5" ht="25.5" x14ac:dyDescent="0.2">
      <c r="A607" s="6" t="str">
        <f>HYPERLINK(SUBSTITUTE(T(hl_0),"{0}","442391142187617"),hn_0)</f>
        <v>ОВ</v>
      </c>
      <c r="B607" s="7">
        <v>18000</v>
      </c>
      <c r="C607" s="8" t="s">
        <v>21</v>
      </c>
      <c r="D607" s="8" t="s">
        <v>11</v>
      </c>
      <c r="E607" s="13" t="s">
        <v>22</v>
      </c>
    </row>
    <row r="608" spans="1:5" ht="25.5" x14ac:dyDescent="0.2">
      <c r="A608" s="6" t="str">
        <f>HYPERLINK(SUBSTITUTE(T(hl_0),"{0}","442391283332049"),hn_0)</f>
        <v>ОВ</v>
      </c>
      <c r="B608" s="7">
        <v>39940</v>
      </c>
      <c r="C608" s="8" t="s">
        <v>13</v>
      </c>
      <c r="D608" s="8" t="s">
        <v>11</v>
      </c>
      <c r="E608" s="13" t="s">
        <v>14</v>
      </c>
    </row>
    <row r="609" spans="1:5" ht="25.5" x14ac:dyDescent="0.2">
      <c r="A609" s="6" t="str">
        <f>HYPERLINK(SUBSTITUTE(T(hl_0),"{0}","442391283283869"),hn_0)</f>
        <v>ОВ</v>
      </c>
      <c r="B609" s="7">
        <v>42050</v>
      </c>
      <c r="C609" s="8" t="s">
        <v>102</v>
      </c>
      <c r="D609" s="8" t="s">
        <v>11</v>
      </c>
      <c r="E609" s="13" t="s">
        <v>103</v>
      </c>
    </row>
    <row r="610" spans="1:5" ht="25.5" x14ac:dyDescent="0.2">
      <c r="A610" s="6" t="str">
        <f>HYPERLINK(SUBSTITUTE(T(hl_0),"{0}","442390287833911"),hn_0)</f>
        <v>ОВ</v>
      </c>
      <c r="B610" s="7">
        <v>12000</v>
      </c>
      <c r="C610" s="8" t="s">
        <v>15</v>
      </c>
      <c r="D610" s="8" t="s">
        <v>11</v>
      </c>
      <c r="E610" s="13" t="s">
        <v>50</v>
      </c>
    </row>
    <row r="611" spans="1:5" ht="25.5" x14ac:dyDescent="0.2">
      <c r="A611" s="6" t="str">
        <f>HYPERLINK(SUBSTITUTE(T(hl_0),"{0}","442392721130191"),hn_0)</f>
        <v>ОВ</v>
      </c>
      <c r="B611" s="7">
        <v>18800</v>
      </c>
      <c r="C611" s="8" t="s">
        <v>95</v>
      </c>
      <c r="D611" s="8" t="s">
        <v>39</v>
      </c>
      <c r="E611" s="13" t="s">
        <v>96</v>
      </c>
    </row>
    <row r="612" spans="1:5" ht="25.5" x14ac:dyDescent="0.2">
      <c r="A612" s="6" t="str">
        <f>HYPERLINK(SUBSTITUTE(T(hl_0),"{0}","442391282697650"),hn_0)</f>
        <v>ОВ</v>
      </c>
      <c r="B612" s="7">
        <v>16400</v>
      </c>
      <c r="C612" s="8" t="s">
        <v>303</v>
      </c>
      <c r="D612" s="8" t="s">
        <v>39</v>
      </c>
      <c r="E612" s="13" t="s">
        <v>304</v>
      </c>
    </row>
    <row r="613" spans="1:5" ht="25.5" x14ac:dyDescent="0.2">
      <c r="A613" s="6" t="str">
        <f>HYPERLINK(SUBSTITUTE(T(hl_0),"{0}","442391283319146"),hn_0)</f>
        <v>ОВ</v>
      </c>
      <c r="B613" s="7">
        <v>39940</v>
      </c>
      <c r="C613" s="8" t="s">
        <v>13</v>
      </c>
      <c r="D613" s="8" t="s">
        <v>11</v>
      </c>
      <c r="E613" s="13" t="s">
        <v>14</v>
      </c>
    </row>
    <row r="614" spans="1:5" ht="25.5" x14ac:dyDescent="0.2">
      <c r="A614" s="6" t="str">
        <f>HYPERLINK(SUBSTITUTE(T(hl_0),"{0}","442385147937238"),hn_0)</f>
        <v>ОВ</v>
      </c>
      <c r="B614" s="7">
        <v>20000</v>
      </c>
      <c r="C614" s="8" t="s">
        <v>107</v>
      </c>
      <c r="D614" s="8" t="s">
        <v>265</v>
      </c>
      <c r="E614" s="13" t="s">
        <v>439</v>
      </c>
    </row>
    <row r="615" spans="1:5" ht="25.5" x14ac:dyDescent="0.2">
      <c r="A615" s="6" t="str">
        <f>HYPERLINK(SUBSTITUTE(T(hl_0),"{0}","442385430373385"),hn_0)</f>
        <v>ОВ</v>
      </c>
      <c r="B615" s="7">
        <v>8000</v>
      </c>
      <c r="C615" s="8" t="s">
        <v>107</v>
      </c>
      <c r="D615" s="8" t="s">
        <v>108</v>
      </c>
      <c r="E615" s="13" t="s">
        <v>440</v>
      </c>
    </row>
    <row r="616" spans="1:5" ht="25.5" x14ac:dyDescent="0.2">
      <c r="A616" s="6" t="str">
        <f>HYPERLINK(SUBSTITUTE(T(hl_0),"{0}","442395187921755"),hn_0)</f>
        <v>ОВ</v>
      </c>
      <c r="B616" s="7">
        <v>10000</v>
      </c>
      <c r="C616" s="8" t="s">
        <v>428</v>
      </c>
      <c r="D616" s="8" t="s">
        <v>441</v>
      </c>
      <c r="E616" s="13" t="s">
        <v>442</v>
      </c>
    </row>
    <row r="617" spans="1:5" ht="25.5" x14ac:dyDescent="0.2">
      <c r="A617" s="6" t="str">
        <f>HYPERLINK(SUBSTITUTE(T(hl_0),"{0}","442393703034948"),hn_0)</f>
        <v>ОВ</v>
      </c>
      <c r="B617" s="7">
        <v>9600</v>
      </c>
      <c r="C617" s="8" t="s">
        <v>122</v>
      </c>
      <c r="D617" s="8" t="s">
        <v>30</v>
      </c>
      <c r="E617" s="13" t="s">
        <v>443</v>
      </c>
    </row>
    <row r="618" spans="1:5" ht="25.5" x14ac:dyDescent="0.2">
      <c r="A618" s="6" t="str">
        <f>HYPERLINK(SUBSTITUTE(T(hl_0),"{0}","442394973958021"),hn_0)</f>
        <v>ОВ</v>
      </c>
      <c r="B618" s="7">
        <v>15000</v>
      </c>
      <c r="C618" s="8" t="s">
        <v>66</v>
      </c>
      <c r="D618" s="8" t="s">
        <v>321</v>
      </c>
      <c r="E618" s="13" t="s">
        <v>444</v>
      </c>
    </row>
    <row r="619" spans="1:5" ht="25.5" x14ac:dyDescent="0.2">
      <c r="A619" s="6" t="str">
        <f>HYPERLINK(SUBSTITUTE(T(hl_0),"{0}","442394952621841"),hn_0)</f>
        <v>ОВ</v>
      </c>
      <c r="B619" s="7">
        <v>8000</v>
      </c>
      <c r="C619" s="8" t="s">
        <v>445</v>
      </c>
      <c r="D619" s="8" t="s">
        <v>441</v>
      </c>
      <c r="E619" s="13" t="s">
        <v>446</v>
      </c>
    </row>
    <row r="620" spans="1:5" ht="25.5" x14ac:dyDescent="0.2">
      <c r="A620" s="6" t="str">
        <f>HYPERLINK(SUBSTITUTE(T(hl_0),"{0}","442391283501982"),hn_0)</f>
        <v>ОВ</v>
      </c>
      <c r="B620" s="7">
        <v>29060</v>
      </c>
      <c r="C620" s="8" t="s">
        <v>51</v>
      </c>
      <c r="D620" s="8" t="s">
        <v>11</v>
      </c>
      <c r="E620" s="13" t="s">
        <v>52</v>
      </c>
    </row>
    <row r="621" spans="1:5" ht="25.5" x14ac:dyDescent="0.2">
      <c r="A621" s="6" t="str">
        <f>HYPERLINK(SUBSTITUTE(T(hl_0),"{0}","442392697909865"),hn_0)</f>
        <v>ОВ</v>
      </c>
      <c r="B621" s="7">
        <v>8000</v>
      </c>
      <c r="C621" s="8" t="s">
        <v>447</v>
      </c>
      <c r="D621" s="8" t="s">
        <v>19</v>
      </c>
      <c r="E621" s="13" t="s">
        <v>448</v>
      </c>
    </row>
    <row r="622" spans="1:5" ht="25.5" x14ac:dyDescent="0.2">
      <c r="A622" s="6" t="str">
        <f>HYPERLINK(SUBSTITUTE(T(hl_0),"{0}","442391283500459"),hn_0)</f>
        <v>ОВ</v>
      </c>
      <c r="B622" s="7">
        <v>29060</v>
      </c>
      <c r="C622" s="8" t="s">
        <v>51</v>
      </c>
      <c r="D622" s="8" t="s">
        <v>11</v>
      </c>
      <c r="E622" s="13" t="s">
        <v>52</v>
      </c>
    </row>
    <row r="623" spans="1:5" ht="25.5" x14ac:dyDescent="0.2">
      <c r="A623" s="6" t="str">
        <f>HYPERLINK(SUBSTITUTE(T(hl_0),"{0}","442391284074534"),hn_0)</f>
        <v>ОВ</v>
      </c>
      <c r="B623" s="7">
        <v>23845</v>
      </c>
      <c r="C623" s="8" t="s">
        <v>23</v>
      </c>
      <c r="D623" s="8" t="s">
        <v>11</v>
      </c>
      <c r="E623" s="13" t="s">
        <v>24</v>
      </c>
    </row>
    <row r="624" spans="1:5" ht="25.5" x14ac:dyDescent="0.2">
      <c r="A624" s="6" t="str">
        <f>HYPERLINK(SUBSTITUTE(T(hl_0),"{0}","442391470307285"),hn_0)</f>
        <v>ОВ</v>
      </c>
      <c r="B624" s="7">
        <v>25000</v>
      </c>
      <c r="C624" s="8" t="s">
        <v>13</v>
      </c>
      <c r="D624" s="8" t="s">
        <v>19</v>
      </c>
      <c r="E624" s="13" t="s">
        <v>93</v>
      </c>
    </row>
    <row r="625" spans="1:5" ht="25.5" x14ac:dyDescent="0.2">
      <c r="A625" s="6" t="str">
        <f>HYPERLINK(SUBSTITUTE(T(hl_0),"{0}","442392544245420"),hn_0)</f>
        <v>ОВ</v>
      </c>
      <c r="B625" s="7">
        <v>17000</v>
      </c>
      <c r="C625" s="8" t="s">
        <v>164</v>
      </c>
      <c r="D625" s="8" t="s">
        <v>16</v>
      </c>
      <c r="E625" s="13" t="s">
        <v>449</v>
      </c>
    </row>
    <row r="626" spans="1:5" ht="25.5" x14ac:dyDescent="0.2">
      <c r="A626" s="6" t="str">
        <f>HYPERLINK(SUBSTITUTE(T(hl_0),"{0}","442392094077745"),hn_0)</f>
        <v>ОВ</v>
      </c>
      <c r="B626" s="7">
        <v>15000</v>
      </c>
      <c r="C626" s="8" t="s">
        <v>66</v>
      </c>
      <c r="D626" s="8" t="s">
        <v>67</v>
      </c>
      <c r="E626" s="13" t="s">
        <v>68</v>
      </c>
    </row>
    <row r="627" spans="1:5" ht="25.5" x14ac:dyDescent="0.2">
      <c r="A627" s="6" t="str">
        <f>HYPERLINK(SUBSTITUTE(T(hl_0),"{0}","442391283501440"),hn_0)</f>
        <v>ОВ</v>
      </c>
      <c r="B627" s="7">
        <v>29060</v>
      </c>
      <c r="C627" s="8" t="s">
        <v>51</v>
      </c>
      <c r="D627" s="8" t="s">
        <v>11</v>
      </c>
      <c r="E627" s="13" t="s">
        <v>52</v>
      </c>
    </row>
    <row r="628" spans="1:5" ht="25.5" x14ac:dyDescent="0.2">
      <c r="A628" s="6" t="str">
        <f>HYPERLINK(SUBSTITUTE(T(hl_0),"{0}","442390287884138"),hn_0)</f>
        <v>ОВ</v>
      </c>
      <c r="B628" s="7">
        <v>20000</v>
      </c>
      <c r="C628" s="8" t="s">
        <v>215</v>
      </c>
      <c r="D628" s="8" t="s">
        <v>11</v>
      </c>
      <c r="E628" s="13" t="s">
        <v>216</v>
      </c>
    </row>
    <row r="629" spans="1:5" ht="25.5" x14ac:dyDescent="0.2">
      <c r="A629" s="6" t="str">
        <f>HYPERLINK(SUBSTITUTE(T(hl_0),"{0}","442391284015083"),hn_0)</f>
        <v>ОВ</v>
      </c>
      <c r="B629" s="7">
        <v>23845</v>
      </c>
      <c r="C629" s="8" t="s">
        <v>91</v>
      </c>
      <c r="D629" s="8" t="s">
        <v>11</v>
      </c>
      <c r="E629" s="13" t="s">
        <v>92</v>
      </c>
    </row>
    <row r="630" spans="1:5" ht="25.5" x14ac:dyDescent="0.2">
      <c r="A630" s="6" t="str">
        <f>HYPERLINK(SUBSTITUTE(T(hl_0),"{0}","442389665534852"),hn_0)</f>
        <v>ОВ</v>
      </c>
      <c r="B630" s="7">
        <v>25000</v>
      </c>
      <c r="C630" s="8" t="s">
        <v>379</v>
      </c>
      <c r="D630" s="8" t="s">
        <v>33</v>
      </c>
      <c r="E630" s="13" t="s">
        <v>450</v>
      </c>
    </row>
    <row r="631" spans="1:5" ht="25.5" x14ac:dyDescent="0.2">
      <c r="A631" s="6" t="str">
        <f>HYPERLINK(SUBSTITUTE(T(hl_0),"{0}","442389665590041"),hn_0)</f>
        <v>ОВ</v>
      </c>
      <c r="B631" s="7">
        <v>22000</v>
      </c>
      <c r="C631" s="8" t="s">
        <v>51</v>
      </c>
      <c r="D631" s="8" t="s">
        <v>19</v>
      </c>
      <c r="E631" s="13" t="s">
        <v>82</v>
      </c>
    </row>
    <row r="632" spans="1:5" ht="25.5" x14ac:dyDescent="0.2">
      <c r="A632" s="6" t="str">
        <f>HYPERLINK(SUBSTITUTE(T(hl_0),"{0}","442390241875753"),hn_0)</f>
        <v>ОВ</v>
      </c>
      <c r="B632" s="7">
        <v>12200</v>
      </c>
      <c r="C632" s="8" t="s">
        <v>244</v>
      </c>
      <c r="D632" s="8" t="s">
        <v>77</v>
      </c>
      <c r="E632" s="13" t="s">
        <v>245</v>
      </c>
    </row>
    <row r="633" spans="1:5" ht="51" x14ac:dyDescent="0.2">
      <c r="A633" s="6" t="str">
        <f>HYPERLINK(SUBSTITUTE(T(hl_0),"{0}","442384583499044"),hn_0)</f>
        <v>ОВ</v>
      </c>
      <c r="B633" s="7">
        <v>8000</v>
      </c>
      <c r="C633" s="8" t="s">
        <v>36</v>
      </c>
      <c r="D633" s="8" t="s">
        <v>11</v>
      </c>
      <c r="E633" s="13" t="s">
        <v>451</v>
      </c>
    </row>
    <row r="634" spans="1:5" ht="25.5" x14ac:dyDescent="0.2">
      <c r="A634" s="6" t="str">
        <f>HYPERLINK(SUBSTITUTE(T(hl_0),"{0}","442385147890190"),hn_0)</f>
        <v>ОВ</v>
      </c>
      <c r="B634" s="7">
        <v>12000</v>
      </c>
      <c r="C634" s="8" t="s">
        <v>200</v>
      </c>
      <c r="D634" s="8" t="s">
        <v>11</v>
      </c>
      <c r="E634" s="13" t="s">
        <v>201</v>
      </c>
    </row>
    <row r="635" spans="1:5" ht="25.5" x14ac:dyDescent="0.2">
      <c r="A635" s="6" t="str">
        <f>HYPERLINK(SUBSTITUTE(T(hl_0),"{0}","442385683673045"),hn_0)</f>
        <v>ОВ</v>
      </c>
      <c r="B635" s="7">
        <v>10000</v>
      </c>
      <c r="C635" s="8" t="s">
        <v>452</v>
      </c>
      <c r="D635" s="8" t="s">
        <v>11</v>
      </c>
      <c r="E635" s="13" t="s">
        <v>453</v>
      </c>
    </row>
    <row r="636" spans="1:5" ht="25.5" x14ac:dyDescent="0.2">
      <c r="A636" s="6" t="str">
        <f>HYPERLINK(SUBSTITUTE(T(hl_0),"{0}","442395188883168"),hn_0)</f>
        <v>ОВ</v>
      </c>
      <c r="B636" s="7">
        <v>8000</v>
      </c>
      <c r="C636" s="8" t="s">
        <v>454</v>
      </c>
      <c r="D636" s="8" t="s">
        <v>11</v>
      </c>
      <c r="E636" s="13" t="s">
        <v>455</v>
      </c>
    </row>
    <row r="637" spans="1:5" ht="25.5" x14ac:dyDescent="0.2">
      <c r="A637" s="6" t="str">
        <f>HYPERLINK(SUBSTITUTE(T(hl_0),"{0}","442393905109679"),hn_0)</f>
        <v>ОВ</v>
      </c>
      <c r="B637" s="7">
        <v>14000</v>
      </c>
      <c r="C637" s="8" t="s">
        <v>141</v>
      </c>
      <c r="D637" s="8" t="s">
        <v>11</v>
      </c>
      <c r="E637" s="13" t="s">
        <v>142</v>
      </c>
    </row>
    <row r="638" spans="1:5" ht="25.5" x14ac:dyDescent="0.2">
      <c r="A638" s="6" t="str">
        <f>HYPERLINK(SUBSTITUTE(T(hl_0),"{0}","442394900700699"),hn_0)</f>
        <v>ОВ</v>
      </c>
      <c r="B638" s="7">
        <v>13000</v>
      </c>
      <c r="C638" s="8" t="s">
        <v>279</v>
      </c>
      <c r="D638" s="8" t="s">
        <v>30</v>
      </c>
      <c r="E638" s="13" t="s">
        <v>280</v>
      </c>
    </row>
    <row r="639" spans="1:5" ht="25.5" x14ac:dyDescent="0.2">
      <c r="A639" s="6" t="str">
        <f>HYPERLINK(SUBSTITUTE(T(hl_0),"{0}","442391435743124"),hn_0)</f>
        <v>ОВ</v>
      </c>
      <c r="B639" s="7">
        <v>20000</v>
      </c>
      <c r="C639" s="8" t="s">
        <v>76</v>
      </c>
      <c r="D639" s="8" t="s">
        <v>70</v>
      </c>
      <c r="E639" s="13" t="s">
        <v>411</v>
      </c>
    </row>
    <row r="640" spans="1:5" ht="25.5" x14ac:dyDescent="0.2">
      <c r="A640" s="6" t="str">
        <f>HYPERLINK(SUBSTITUTE(T(hl_0),"{0}","442391952581312"),hn_0)</f>
        <v>ОВ</v>
      </c>
      <c r="B640" s="7">
        <v>8000</v>
      </c>
      <c r="C640" s="8" t="s">
        <v>15</v>
      </c>
      <c r="D640" s="8" t="s">
        <v>25</v>
      </c>
      <c r="E640" s="13" t="s">
        <v>456</v>
      </c>
    </row>
    <row r="641" spans="1:5" ht="25.5" x14ac:dyDescent="0.2">
      <c r="A641" s="6" t="str">
        <f>HYPERLINK(SUBSTITUTE(T(hl_0),"{0}","442391142188573"),hn_0)</f>
        <v>ОВ</v>
      </c>
      <c r="B641" s="7">
        <v>18000</v>
      </c>
      <c r="C641" s="8" t="s">
        <v>21</v>
      </c>
      <c r="D641" s="8" t="s">
        <v>11</v>
      </c>
      <c r="E641" s="13" t="s">
        <v>22</v>
      </c>
    </row>
    <row r="642" spans="1:5" ht="25.5" x14ac:dyDescent="0.2">
      <c r="A642" s="6" t="str">
        <f>HYPERLINK(SUBSTITUTE(T(hl_0),"{0}","442391470307035"),hn_0)</f>
        <v>ОВ</v>
      </c>
      <c r="B642" s="7">
        <v>25000</v>
      </c>
      <c r="C642" s="8" t="s">
        <v>13</v>
      </c>
      <c r="D642" s="8" t="s">
        <v>19</v>
      </c>
      <c r="E642" s="13" t="s">
        <v>93</v>
      </c>
    </row>
    <row r="643" spans="1:5" ht="25.5" x14ac:dyDescent="0.2">
      <c r="A643" s="6" t="str">
        <f>HYPERLINK(SUBSTITUTE(T(hl_0),"{0}","442391283285018"),hn_0)</f>
        <v>ОВ</v>
      </c>
      <c r="B643" s="7">
        <v>42050</v>
      </c>
      <c r="C643" s="8" t="s">
        <v>102</v>
      </c>
      <c r="D643" s="8" t="s">
        <v>11</v>
      </c>
      <c r="E643" s="13" t="s">
        <v>103</v>
      </c>
    </row>
    <row r="644" spans="1:5" ht="25.5" x14ac:dyDescent="0.2">
      <c r="A644" s="6" t="str">
        <f>HYPERLINK(SUBSTITUTE(T(hl_0),"{0}","442391284015442"),hn_0)</f>
        <v>ОВ</v>
      </c>
      <c r="B644" s="7">
        <v>23845</v>
      </c>
      <c r="C644" s="8" t="s">
        <v>91</v>
      </c>
      <c r="D644" s="8" t="s">
        <v>11</v>
      </c>
      <c r="E644" s="13" t="s">
        <v>92</v>
      </c>
    </row>
    <row r="645" spans="1:5" ht="25.5" x14ac:dyDescent="0.2">
      <c r="A645" s="6" t="str">
        <f>HYPERLINK(SUBSTITUTE(T(hl_0),"{0}","442390287808118"),hn_0)</f>
        <v>ОВ</v>
      </c>
      <c r="B645" s="7">
        <v>20000</v>
      </c>
      <c r="C645" s="8" t="s">
        <v>141</v>
      </c>
      <c r="D645" s="8" t="s">
        <v>11</v>
      </c>
      <c r="E645" s="13" t="s">
        <v>199</v>
      </c>
    </row>
    <row r="646" spans="1:5" ht="25.5" x14ac:dyDescent="0.2">
      <c r="A646" s="6" t="str">
        <f>HYPERLINK(SUBSTITUTE(T(hl_0),"{0}","442389800876578"),hn_0)</f>
        <v>ОВ</v>
      </c>
      <c r="B646" s="7">
        <v>9100</v>
      </c>
      <c r="C646" s="8" t="s">
        <v>76</v>
      </c>
      <c r="D646" s="8" t="s">
        <v>77</v>
      </c>
      <c r="E646" s="13" t="s">
        <v>78</v>
      </c>
    </row>
    <row r="647" spans="1:5" ht="38.25" x14ac:dyDescent="0.2">
      <c r="A647" s="6" t="str">
        <f>HYPERLINK(SUBSTITUTE(T(hl_0),"{0}","442388541604635"),hn_0)</f>
        <v>ОВ</v>
      </c>
      <c r="B647" s="7">
        <v>8000</v>
      </c>
      <c r="C647" s="8" t="s">
        <v>105</v>
      </c>
      <c r="D647" s="8" t="s">
        <v>25</v>
      </c>
      <c r="E647" s="13" t="s">
        <v>106</v>
      </c>
    </row>
    <row r="648" spans="1:5" ht="25.5" x14ac:dyDescent="0.2">
      <c r="A648" s="6" t="str">
        <f>HYPERLINK(SUBSTITUTE(T(hl_0),"{0}","442388539658946"),hn_0)</f>
        <v>ОВ</v>
      </c>
      <c r="B648" s="7">
        <v>17000</v>
      </c>
      <c r="C648" s="8" t="s">
        <v>457</v>
      </c>
      <c r="D648" s="8" t="s">
        <v>334</v>
      </c>
      <c r="E648" s="13" t="s">
        <v>458</v>
      </c>
    </row>
    <row r="649" spans="1:5" ht="25.5" x14ac:dyDescent="0.2">
      <c r="A649" s="6" t="str">
        <f>HYPERLINK(SUBSTITUTE(T(hl_0),"{0}","442389269422483"),hn_0)</f>
        <v>ОВ</v>
      </c>
      <c r="B649" s="7">
        <v>9100</v>
      </c>
      <c r="C649" s="8" t="s">
        <v>459</v>
      </c>
      <c r="D649" s="8" t="s">
        <v>11</v>
      </c>
      <c r="E649" s="13" t="s">
        <v>460</v>
      </c>
    </row>
    <row r="650" spans="1:5" ht="25.5" x14ac:dyDescent="0.2">
      <c r="A650" s="6" t="str">
        <f>HYPERLINK(SUBSTITUTE(T(hl_0),"{0}","442389453391358"),hn_0)</f>
        <v>ОВ</v>
      </c>
      <c r="B650" s="7">
        <v>25000</v>
      </c>
      <c r="C650" s="8" t="s">
        <v>379</v>
      </c>
      <c r="D650" s="8" t="s">
        <v>33</v>
      </c>
      <c r="E650" s="13" t="s">
        <v>380</v>
      </c>
    </row>
    <row r="651" spans="1:5" ht="38.25" x14ac:dyDescent="0.2">
      <c r="A651" s="6" t="str">
        <f>HYPERLINK(SUBSTITUTE(T(hl_0),"{0}","442390086348265"),hn_0)</f>
        <v>ОВ</v>
      </c>
      <c r="B651" s="7">
        <v>11809</v>
      </c>
      <c r="C651" s="8" t="s">
        <v>342</v>
      </c>
      <c r="D651" s="8" t="s">
        <v>11</v>
      </c>
      <c r="E651" s="13" t="s">
        <v>461</v>
      </c>
    </row>
    <row r="652" spans="1:5" ht="25.5" x14ac:dyDescent="0.2">
      <c r="A652" s="6" t="str">
        <f>HYPERLINK(SUBSTITUTE(T(hl_0),"{0}","442393905102547"),hn_0)</f>
        <v>ОВ</v>
      </c>
      <c r="B652" s="7">
        <v>16000</v>
      </c>
      <c r="C652" s="8" t="s">
        <v>95</v>
      </c>
      <c r="D652" s="8" t="s">
        <v>11</v>
      </c>
      <c r="E652" s="13" t="s">
        <v>310</v>
      </c>
    </row>
    <row r="653" spans="1:5" ht="25.5" x14ac:dyDescent="0.2">
      <c r="A653" s="6" t="str">
        <f>HYPERLINK(SUBSTITUTE(T(hl_0),"{0}","442393371145292"),hn_0)</f>
        <v>ОВ</v>
      </c>
      <c r="B653" s="7">
        <v>13000</v>
      </c>
      <c r="C653" s="8" t="s">
        <v>105</v>
      </c>
      <c r="D653" s="8" t="s">
        <v>11</v>
      </c>
      <c r="E653" s="13" t="s">
        <v>112</v>
      </c>
    </row>
    <row r="654" spans="1:5" ht="25.5" x14ac:dyDescent="0.2">
      <c r="A654" s="6" t="str">
        <f>HYPERLINK(SUBSTITUTE(T(hl_0),"{0}","442394534826304"),hn_0)</f>
        <v>ОВ</v>
      </c>
      <c r="B654" s="7">
        <v>14300</v>
      </c>
      <c r="C654" s="8" t="s">
        <v>462</v>
      </c>
      <c r="D654" s="8" t="s">
        <v>30</v>
      </c>
      <c r="E654" s="13" t="s">
        <v>463</v>
      </c>
    </row>
    <row r="655" spans="1:5" ht="25.5" x14ac:dyDescent="0.2">
      <c r="A655" s="6" t="str">
        <f>HYPERLINK(SUBSTITUTE(T(hl_0),"{0}","442393905248753"),hn_0)</f>
        <v>ОВ</v>
      </c>
      <c r="B655" s="7">
        <v>8667</v>
      </c>
      <c r="C655" s="8" t="s">
        <v>64</v>
      </c>
      <c r="D655" s="8" t="s">
        <v>11</v>
      </c>
      <c r="E655" s="13" t="s">
        <v>65</v>
      </c>
    </row>
    <row r="656" spans="1:5" ht="25.5" x14ac:dyDescent="0.2">
      <c r="A656" s="6" t="str">
        <f>HYPERLINK(SUBSTITUTE(T(hl_0),"{0}","442393876449443"),hn_0)</f>
        <v>ОВ</v>
      </c>
      <c r="B656" s="7">
        <v>8000</v>
      </c>
      <c r="C656" s="8" t="s">
        <v>464</v>
      </c>
      <c r="D656" s="8" t="s">
        <v>11</v>
      </c>
      <c r="E656" s="13" t="s">
        <v>465</v>
      </c>
    </row>
    <row r="657" spans="1:5" ht="38.25" x14ac:dyDescent="0.2">
      <c r="A657" s="6" t="str">
        <f>HYPERLINK(SUBSTITUTE(T(hl_0),"{0}","442393876478324"),hn_0)</f>
        <v>ОВ</v>
      </c>
      <c r="B657" s="7">
        <v>8000</v>
      </c>
      <c r="C657" s="8" t="s">
        <v>454</v>
      </c>
      <c r="D657" s="8" t="s">
        <v>11</v>
      </c>
      <c r="E657" s="13" t="s">
        <v>466</v>
      </c>
    </row>
    <row r="658" spans="1:5" ht="25.5" x14ac:dyDescent="0.2">
      <c r="A658" s="6" t="str">
        <f>HYPERLINK(SUBSTITUTE(T(hl_0),"{0}","442391283341181"),hn_0)</f>
        <v>ОВ</v>
      </c>
      <c r="B658" s="7">
        <v>39940</v>
      </c>
      <c r="C658" s="8" t="s">
        <v>13</v>
      </c>
      <c r="D658" s="8" t="s">
        <v>11</v>
      </c>
      <c r="E658" s="13" t="s">
        <v>14</v>
      </c>
    </row>
    <row r="659" spans="1:5" ht="25.5" x14ac:dyDescent="0.2">
      <c r="A659" s="6" t="str">
        <f>HYPERLINK(SUBSTITUTE(T(hl_0),"{0}","442392721628679"),hn_0)</f>
        <v>ОВ</v>
      </c>
      <c r="B659" s="7">
        <v>14700</v>
      </c>
      <c r="C659" s="8" t="s">
        <v>10</v>
      </c>
      <c r="D659" s="8" t="s">
        <v>39</v>
      </c>
      <c r="E659" s="13" t="s">
        <v>94</v>
      </c>
    </row>
    <row r="660" spans="1:5" ht="25.5" x14ac:dyDescent="0.2">
      <c r="A660" s="6" t="str">
        <f>HYPERLINK(SUBSTITUTE(T(hl_0),"{0}","442392406638956"),hn_0)</f>
        <v>ОВ</v>
      </c>
      <c r="B660" s="7">
        <v>10000</v>
      </c>
      <c r="C660" s="8" t="s">
        <v>467</v>
      </c>
      <c r="D660" s="8" t="s">
        <v>77</v>
      </c>
      <c r="E660" s="13" t="s">
        <v>468</v>
      </c>
    </row>
    <row r="661" spans="1:5" ht="25.5" x14ac:dyDescent="0.2">
      <c r="A661" s="6" t="str">
        <f>HYPERLINK(SUBSTITUTE(T(hl_0),"{0}","442392720698565"),hn_0)</f>
        <v>ОВ</v>
      </c>
      <c r="B661" s="7">
        <v>16100</v>
      </c>
      <c r="C661" s="8" t="s">
        <v>355</v>
      </c>
      <c r="D661" s="8" t="s">
        <v>39</v>
      </c>
      <c r="E661" s="13" t="s">
        <v>356</v>
      </c>
    </row>
    <row r="662" spans="1:5" ht="25.5" x14ac:dyDescent="0.2">
      <c r="A662" s="6" t="str">
        <f>HYPERLINK(SUBSTITUTE(T(hl_0),"{0}","442391283502368"),hn_0)</f>
        <v>ОВ</v>
      </c>
      <c r="B662" s="7">
        <v>29060</v>
      </c>
      <c r="C662" s="8" t="s">
        <v>51</v>
      </c>
      <c r="D662" s="8" t="s">
        <v>11</v>
      </c>
      <c r="E662" s="13" t="s">
        <v>52</v>
      </c>
    </row>
    <row r="663" spans="1:5" ht="25.5" x14ac:dyDescent="0.2">
      <c r="A663" s="6" t="str">
        <f>HYPERLINK(SUBSTITUTE(T(hl_0),"{0}","442391283305629"),hn_0)</f>
        <v>ОВ</v>
      </c>
      <c r="B663" s="7">
        <v>39940</v>
      </c>
      <c r="C663" s="8" t="s">
        <v>13</v>
      </c>
      <c r="D663" s="8" t="s">
        <v>11</v>
      </c>
      <c r="E663" s="13" t="s">
        <v>14</v>
      </c>
    </row>
    <row r="664" spans="1:5" ht="25.5" x14ac:dyDescent="0.2">
      <c r="A664" s="6" t="str">
        <f>HYPERLINK(SUBSTITUTE(T(hl_0),"{0}","442392721131987"),hn_0)</f>
        <v>ОВ</v>
      </c>
      <c r="B664" s="7">
        <v>21800</v>
      </c>
      <c r="C664" s="8" t="s">
        <v>95</v>
      </c>
      <c r="D664" s="8" t="s">
        <v>39</v>
      </c>
      <c r="E664" s="13" t="s">
        <v>96</v>
      </c>
    </row>
    <row r="665" spans="1:5" ht="25.5" x14ac:dyDescent="0.2">
      <c r="A665" s="6" t="str">
        <f>HYPERLINK(SUBSTITUTE(T(hl_0),"{0}","442391750846510"),hn_0)</f>
        <v>ОВ</v>
      </c>
      <c r="B665" s="7">
        <v>8000</v>
      </c>
      <c r="C665" s="8" t="s">
        <v>236</v>
      </c>
      <c r="D665" s="8" t="s">
        <v>469</v>
      </c>
      <c r="E665" s="13" t="s">
        <v>470</v>
      </c>
    </row>
    <row r="666" spans="1:5" ht="25.5" x14ac:dyDescent="0.2">
      <c r="A666" s="6" t="str">
        <f>HYPERLINK(SUBSTITUTE(T(hl_0),"{0}","442392721130206"),hn_0)</f>
        <v>ОВ</v>
      </c>
      <c r="B666" s="7">
        <v>18800</v>
      </c>
      <c r="C666" s="8" t="s">
        <v>95</v>
      </c>
      <c r="D666" s="8" t="s">
        <v>39</v>
      </c>
      <c r="E666" s="13" t="s">
        <v>96</v>
      </c>
    </row>
    <row r="667" spans="1:5" ht="25.5" x14ac:dyDescent="0.2">
      <c r="A667" s="6" t="str">
        <f>HYPERLINK(SUBSTITUTE(T(hl_0),"{0}","442392406624594"),hn_0)</f>
        <v>ОВ</v>
      </c>
      <c r="B667" s="7">
        <v>10000</v>
      </c>
      <c r="C667" s="8" t="s">
        <v>471</v>
      </c>
      <c r="D667" s="8" t="s">
        <v>77</v>
      </c>
      <c r="E667" s="13" t="s">
        <v>472</v>
      </c>
    </row>
    <row r="668" spans="1:5" ht="25.5" x14ac:dyDescent="0.2">
      <c r="A668" s="6" t="str">
        <f>HYPERLINK(SUBSTITUTE(T(hl_0),"{0}","442391470384422"),hn_0)</f>
        <v>ОВ</v>
      </c>
      <c r="B668" s="7">
        <v>15000</v>
      </c>
      <c r="C668" s="8" t="s">
        <v>131</v>
      </c>
      <c r="D668" s="8" t="s">
        <v>19</v>
      </c>
      <c r="E668" s="13" t="s">
        <v>132</v>
      </c>
    </row>
    <row r="669" spans="1:5" ht="25.5" x14ac:dyDescent="0.2">
      <c r="A669" s="6" t="str">
        <f>HYPERLINK(SUBSTITUTE(T(hl_0),"{0}","442391470307314"),hn_0)</f>
        <v>ОВ</v>
      </c>
      <c r="B669" s="7">
        <v>25000</v>
      </c>
      <c r="C669" s="8" t="s">
        <v>13</v>
      </c>
      <c r="D669" s="8" t="s">
        <v>19</v>
      </c>
      <c r="E669" s="13" t="s">
        <v>93</v>
      </c>
    </row>
    <row r="670" spans="1:5" ht="25.5" x14ac:dyDescent="0.2">
      <c r="A670" s="6" t="str">
        <f>HYPERLINK(SUBSTITUTE(T(hl_0),"{0}","442389665645309"),hn_0)</f>
        <v>ОВ</v>
      </c>
      <c r="B670" s="7">
        <v>20000</v>
      </c>
      <c r="C670" s="8" t="s">
        <v>51</v>
      </c>
      <c r="D670" s="8" t="s">
        <v>11</v>
      </c>
      <c r="E670" s="13" t="s">
        <v>288</v>
      </c>
    </row>
    <row r="671" spans="1:5" ht="25.5" x14ac:dyDescent="0.2">
      <c r="A671" s="6" t="str">
        <f>HYPERLINK(SUBSTITUTE(T(hl_0),"{0}","442388655679501"),hn_0)</f>
        <v>ОВ</v>
      </c>
      <c r="B671" s="7">
        <v>11700</v>
      </c>
      <c r="C671" s="8" t="s">
        <v>76</v>
      </c>
      <c r="D671" s="8" t="s">
        <v>11</v>
      </c>
      <c r="E671" s="13" t="s">
        <v>473</v>
      </c>
    </row>
    <row r="672" spans="1:5" ht="25.5" x14ac:dyDescent="0.2">
      <c r="A672" s="6" t="str">
        <f>HYPERLINK(SUBSTITUTE(T(hl_0),"{0}","442389663874404"),hn_0)</f>
        <v>ОВ</v>
      </c>
      <c r="B672" s="7">
        <v>13900</v>
      </c>
      <c r="C672" s="8" t="s">
        <v>51</v>
      </c>
      <c r="D672" s="8" t="s">
        <v>11</v>
      </c>
      <c r="E672" s="13" t="s">
        <v>159</v>
      </c>
    </row>
    <row r="673" spans="1:5" ht="25.5" x14ac:dyDescent="0.2">
      <c r="A673" s="6" t="str">
        <f>HYPERLINK(SUBSTITUTE(T(hl_0),"{0}","442395315436518"),hn_0)</f>
        <v>ОВ</v>
      </c>
      <c r="B673" s="7">
        <v>8300</v>
      </c>
      <c r="C673" s="8" t="s">
        <v>200</v>
      </c>
      <c r="D673" s="8" t="s">
        <v>11</v>
      </c>
      <c r="E673" s="13" t="s">
        <v>474</v>
      </c>
    </row>
    <row r="674" spans="1:5" ht="25.5" x14ac:dyDescent="0.2">
      <c r="A674" s="6" t="str">
        <f>HYPERLINK(SUBSTITUTE(T(hl_0),"{0}","442393529360784"),hn_0)</f>
        <v>ОВ</v>
      </c>
      <c r="B674" s="7">
        <v>8000</v>
      </c>
      <c r="C674" s="8" t="s">
        <v>133</v>
      </c>
      <c r="D674" s="8" t="s">
        <v>33</v>
      </c>
      <c r="E674" s="13" t="s">
        <v>475</v>
      </c>
    </row>
    <row r="675" spans="1:5" ht="25.5" x14ac:dyDescent="0.2">
      <c r="A675" s="6" t="str">
        <f>HYPERLINK(SUBSTITUTE(T(hl_0),"{0}","442391143327218"),hn_0)</f>
        <v>ОВ</v>
      </c>
      <c r="B675" s="7">
        <v>15000</v>
      </c>
      <c r="C675" s="8" t="s">
        <v>105</v>
      </c>
      <c r="D675" s="8" t="s">
        <v>11</v>
      </c>
      <c r="E675" s="13" t="s">
        <v>476</v>
      </c>
    </row>
    <row r="676" spans="1:5" ht="25.5" x14ac:dyDescent="0.2">
      <c r="A676" s="6" t="str">
        <f>HYPERLINK(SUBSTITUTE(T(hl_0),"{0}","442391142187806"),hn_0)</f>
        <v>ОВ</v>
      </c>
      <c r="B676" s="7">
        <v>18000</v>
      </c>
      <c r="C676" s="8" t="s">
        <v>21</v>
      </c>
      <c r="D676" s="8" t="s">
        <v>11</v>
      </c>
      <c r="E676" s="13" t="s">
        <v>22</v>
      </c>
    </row>
    <row r="677" spans="1:5" ht="25.5" x14ac:dyDescent="0.2">
      <c r="A677" s="6" t="str">
        <f>HYPERLINK(SUBSTITUTE(T(hl_0),"{0}","442391283500714"),hn_0)</f>
        <v>ОВ</v>
      </c>
      <c r="B677" s="7">
        <v>29060</v>
      </c>
      <c r="C677" s="8" t="s">
        <v>51</v>
      </c>
      <c r="D677" s="8" t="s">
        <v>11</v>
      </c>
      <c r="E677" s="13" t="s">
        <v>52</v>
      </c>
    </row>
    <row r="678" spans="1:5" ht="25.5" x14ac:dyDescent="0.2">
      <c r="A678" s="6" t="str">
        <f>HYPERLINK(SUBSTITUTE(T(hl_0),"{0}","442391283500746"),hn_0)</f>
        <v>ОВ</v>
      </c>
      <c r="B678" s="7">
        <v>29060</v>
      </c>
      <c r="C678" s="8" t="s">
        <v>51</v>
      </c>
      <c r="D678" s="8" t="s">
        <v>11</v>
      </c>
      <c r="E678" s="13" t="s">
        <v>52</v>
      </c>
    </row>
    <row r="679" spans="1:5" ht="25.5" x14ac:dyDescent="0.2">
      <c r="A679" s="6" t="str">
        <f>HYPERLINK(SUBSTITUTE(T(hl_0),"{0}","442391283282857"),hn_0)</f>
        <v>ОВ</v>
      </c>
      <c r="B679" s="7">
        <v>42050</v>
      </c>
      <c r="C679" s="8" t="s">
        <v>102</v>
      </c>
      <c r="D679" s="8" t="s">
        <v>11</v>
      </c>
      <c r="E679" s="13" t="s">
        <v>103</v>
      </c>
    </row>
    <row r="680" spans="1:5" ht="25.5" x14ac:dyDescent="0.2">
      <c r="A680" s="6" t="str">
        <f>HYPERLINK(SUBSTITUTE(T(hl_0),"{0}","442391283284282"),hn_0)</f>
        <v>ОВ</v>
      </c>
      <c r="B680" s="7">
        <v>42050</v>
      </c>
      <c r="C680" s="8" t="s">
        <v>102</v>
      </c>
      <c r="D680" s="8" t="s">
        <v>11</v>
      </c>
      <c r="E680" s="13" t="s">
        <v>103</v>
      </c>
    </row>
    <row r="681" spans="1:5" ht="25.5" x14ac:dyDescent="0.2">
      <c r="A681" s="6" t="str">
        <f>HYPERLINK(SUBSTITUTE(T(hl_0),"{0}","442391284075851"),hn_0)</f>
        <v>ОВ</v>
      </c>
      <c r="B681" s="7">
        <v>23845</v>
      </c>
      <c r="C681" s="8" t="s">
        <v>23</v>
      </c>
      <c r="D681" s="8" t="s">
        <v>11</v>
      </c>
      <c r="E681" s="13" t="s">
        <v>24</v>
      </c>
    </row>
    <row r="682" spans="1:5" ht="25.5" x14ac:dyDescent="0.2">
      <c r="A682" s="6" t="str">
        <f>HYPERLINK(SUBSTITUTE(T(hl_0),"{0}","442391435687997"),hn_0)</f>
        <v>ОВ</v>
      </c>
      <c r="B682" s="7">
        <v>20160</v>
      </c>
      <c r="C682" s="8" t="s">
        <v>69</v>
      </c>
      <c r="D682" s="8" t="s">
        <v>70</v>
      </c>
      <c r="E682" s="13" t="s">
        <v>71</v>
      </c>
    </row>
    <row r="683" spans="1:5" ht="25.5" x14ac:dyDescent="0.2">
      <c r="A683" s="6" t="str">
        <f>HYPERLINK(SUBSTITUTE(T(hl_0),"{0}","442392721473235"),hn_0)</f>
        <v>ОВ</v>
      </c>
      <c r="B683" s="7">
        <v>8300</v>
      </c>
      <c r="C683" s="8" t="s">
        <v>224</v>
      </c>
      <c r="D683" s="8" t="s">
        <v>11</v>
      </c>
      <c r="E683" s="13" t="s">
        <v>225</v>
      </c>
    </row>
    <row r="684" spans="1:5" ht="25.5" x14ac:dyDescent="0.2">
      <c r="A684" s="6" t="str">
        <f>HYPERLINK(SUBSTITUTE(T(hl_0),"{0}","442391283307282"),hn_0)</f>
        <v>ОВ</v>
      </c>
      <c r="B684" s="7">
        <v>39940</v>
      </c>
      <c r="C684" s="8" t="s">
        <v>13</v>
      </c>
      <c r="D684" s="8" t="s">
        <v>11</v>
      </c>
      <c r="E684" s="13" t="s">
        <v>14</v>
      </c>
    </row>
    <row r="685" spans="1:5" ht="25.5" x14ac:dyDescent="0.2">
      <c r="A685" s="6" t="str">
        <f>HYPERLINK(SUBSTITUTE(T(hl_0),"{0}","442392720660536"),hn_0)</f>
        <v>ОВ</v>
      </c>
      <c r="B685" s="7">
        <v>14000</v>
      </c>
      <c r="C685" s="8" t="s">
        <v>477</v>
      </c>
      <c r="D685" s="8" t="s">
        <v>39</v>
      </c>
      <c r="E685" s="13" t="s">
        <v>478</v>
      </c>
    </row>
    <row r="686" spans="1:5" ht="25.5" x14ac:dyDescent="0.2">
      <c r="A686" s="6" t="str">
        <f>HYPERLINK(SUBSTITUTE(T(hl_0),"{0}","442389800876326"),hn_0)</f>
        <v>ОВ</v>
      </c>
      <c r="B686" s="7">
        <v>9100</v>
      </c>
      <c r="C686" s="8" t="s">
        <v>76</v>
      </c>
      <c r="D686" s="8" t="s">
        <v>77</v>
      </c>
      <c r="E686" s="13" t="s">
        <v>78</v>
      </c>
    </row>
    <row r="687" spans="1:5" ht="25.5" x14ac:dyDescent="0.2">
      <c r="A687" s="6" t="str">
        <f>HYPERLINK(SUBSTITUTE(T(hl_0),"{0}","442389663871146"),hn_0)</f>
        <v>ОВ</v>
      </c>
      <c r="B687" s="7">
        <v>13900</v>
      </c>
      <c r="C687" s="8" t="s">
        <v>51</v>
      </c>
      <c r="D687" s="8" t="s">
        <v>11</v>
      </c>
      <c r="E687" s="13" t="s">
        <v>159</v>
      </c>
    </row>
    <row r="688" spans="1:5" ht="25.5" x14ac:dyDescent="0.2">
      <c r="A688" s="6" t="str">
        <f>HYPERLINK(SUBSTITUTE(T(hl_0),"{0}","442388222126099"),hn_0)</f>
        <v>ОВ</v>
      </c>
      <c r="B688" s="7">
        <v>20000</v>
      </c>
      <c r="C688" s="8" t="s">
        <v>213</v>
      </c>
      <c r="D688" s="8" t="s">
        <v>67</v>
      </c>
      <c r="E688" s="13" t="s">
        <v>479</v>
      </c>
    </row>
    <row r="689" spans="1:5" ht="38.25" x14ac:dyDescent="0.2">
      <c r="A689" s="6" t="str">
        <f>HYPERLINK(SUBSTITUTE(T(hl_0),"{0}","442386896147612"),hn_0)</f>
        <v>ОВ</v>
      </c>
      <c r="B689" s="7">
        <v>8000</v>
      </c>
      <c r="C689" s="8" t="s">
        <v>480</v>
      </c>
      <c r="D689" s="8" t="s">
        <v>25</v>
      </c>
      <c r="E689" s="13" t="s">
        <v>481</v>
      </c>
    </row>
    <row r="690" spans="1:5" ht="25.5" x14ac:dyDescent="0.2">
      <c r="A690" s="6" t="str">
        <f>HYPERLINK(SUBSTITUTE(T(hl_0),"{0}","442388541478478"),hn_0)</f>
        <v>ОВ</v>
      </c>
      <c r="B690" s="7">
        <v>19578</v>
      </c>
      <c r="C690" s="8" t="s">
        <v>286</v>
      </c>
      <c r="D690" s="8" t="s">
        <v>25</v>
      </c>
      <c r="E690" s="13" t="s">
        <v>287</v>
      </c>
    </row>
    <row r="691" spans="1:5" ht="25.5" x14ac:dyDescent="0.2">
      <c r="A691" s="6" t="str">
        <f>HYPERLINK(SUBSTITUTE(T(hl_0),"{0}","442388539560511"),hn_0)</f>
        <v>ОВ</v>
      </c>
      <c r="B691" s="7">
        <v>17000</v>
      </c>
      <c r="C691" s="8" t="s">
        <v>482</v>
      </c>
      <c r="D691" s="8" t="s">
        <v>334</v>
      </c>
      <c r="E691" s="13" t="s">
        <v>483</v>
      </c>
    </row>
    <row r="692" spans="1:5" ht="38.25" x14ac:dyDescent="0.2">
      <c r="A692" s="6" t="str">
        <f>HYPERLINK(SUBSTITUTE(T(hl_0),"{0}","442388541433352"),hn_0)</f>
        <v>ОВ</v>
      </c>
      <c r="B692" s="7">
        <v>15991.92</v>
      </c>
      <c r="C692" s="8" t="s">
        <v>18</v>
      </c>
      <c r="D692" s="8" t="s">
        <v>25</v>
      </c>
      <c r="E692" s="13" t="s">
        <v>35</v>
      </c>
    </row>
    <row r="693" spans="1:5" ht="25.5" x14ac:dyDescent="0.2">
      <c r="A693" s="6" t="str">
        <f>HYPERLINK(SUBSTITUTE(T(hl_0),"{0}","442384007149364"),hn_0)</f>
        <v>ОВ</v>
      </c>
      <c r="B693" s="7">
        <v>16000</v>
      </c>
      <c r="C693" s="8" t="s">
        <v>325</v>
      </c>
      <c r="D693" s="8" t="s">
        <v>70</v>
      </c>
      <c r="E693" s="13" t="s">
        <v>326</v>
      </c>
    </row>
    <row r="694" spans="1:5" ht="25.5" x14ac:dyDescent="0.2">
      <c r="A694" s="6" t="str">
        <f>HYPERLINK(SUBSTITUTE(T(hl_0),"{0}","442386086450879"),hn_0)</f>
        <v>ОВ</v>
      </c>
      <c r="B694" s="7">
        <v>8300</v>
      </c>
      <c r="C694" s="8" t="s">
        <v>484</v>
      </c>
      <c r="D694" s="8" t="s">
        <v>39</v>
      </c>
      <c r="E694" s="13" t="s">
        <v>485</v>
      </c>
    </row>
    <row r="695" spans="1:5" ht="25.5" x14ac:dyDescent="0.2">
      <c r="A695" s="6" t="str">
        <f>HYPERLINK(SUBSTITUTE(T(hl_0),"{0}","442384044211895"),hn_0)</f>
        <v>ОВ</v>
      </c>
      <c r="B695" s="7">
        <v>10000</v>
      </c>
      <c r="C695" s="8" t="s">
        <v>222</v>
      </c>
      <c r="D695" s="8" t="s">
        <v>11</v>
      </c>
      <c r="E695" s="13" t="s">
        <v>486</v>
      </c>
    </row>
    <row r="696" spans="1:5" ht="25.5" x14ac:dyDescent="0.2">
      <c r="A696" s="6" t="str">
        <f>HYPERLINK(SUBSTITUTE(T(hl_0),"{0}","442393905068200"),hn_0)</f>
        <v>ОВ</v>
      </c>
      <c r="B696" s="7">
        <v>14000</v>
      </c>
      <c r="C696" s="8" t="s">
        <v>250</v>
      </c>
      <c r="D696" s="8" t="s">
        <v>11</v>
      </c>
      <c r="E696" s="13" t="s">
        <v>251</v>
      </c>
    </row>
    <row r="697" spans="1:5" ht="25.5" x14ac:dyDescent="0.2">
      <c r="A697" s="6" t="str">
        <f>HYPERLINK(SUBSTITUTE(T(hl_0),"{0}","442393905239322"),hn_0)</f>
        <v>ОВ</v>
      </c>
      <c r="B697" s="7">
        <v>15000</v>
      </c>
      <c r="C697" s="8" t="s">
        <v>148</v>
      </c>
      <c r="D697" s="8" t="s">
        <v>11</v>
      </c>
      <c r="E697" s="13" t="s">
        <v>487</v>
      </c>
    </row>
    <row r="698" spans="1:5" ht="38.25" x14ac:dyDescent="0.2">
      <c r="A698" s="6" t="str">
        <f>HYPERLINK(SUBSTITUTE(T(hl_0),"{0}","442393458374897"),hn_0)</f>
        <v>ОВ</v>
      </c>
      <c r="B698" s="7">
        <v>10000</v>
      </c>
      <c r="C698" s="8" t="s">
        <v>268</v>
      </c>
      <c r="D698" s="8" t="s">
        <v>11</v>
      </c>
      <c r="E698" s="13" t="s">
        <v>488</v>
      </c>
    </row>
    <row r="699" spans="1:5" ht="38.25" x14ac:dyDescent="0.2">
      <c r="A699" s="6" t="str">
        <f>HYPERLINK(SUBSTITUTE(T(hl_0),"{0}","442395069172639"),hn_0)</f>
        <v>ОВ</v>
      </c>
      <c r="B699" s="7">
        <v>22525</v>
      </c>
      <c r="C699" s="8" t="s">
        <v>18</v>
      </c>
      <c r="D699" s="8" t="s">
        <v>11</v>
      </c>
      <c r="E699" s="13" t="s">
        <v>140</v>
      </c>
    </row>
    <row r="700" spans="1:5" ht="38.25" x14ac:dyDescent="0.2">
      <c r="A700" s="6" t="str">
        <f>HYPERLINK(SUBSTITUTE(T(hl_0),"{0}","442395069113586"),hn_0)</f>
        <v>ОВ</v>
      </c>
      <c r="B700" s="7">
        <v>30242</v>
      </c>
      <c r="C700" s="8" t="s">
        <v>211</v>
      </c>
      <c r="D700" s="8" t="s">
        <v>11</v>
      </c>
      <c r="E700" s="13" t="s">
        <v>420</v>
      </c>
    </row>
    <row r="701" spans="1:5" ht="25.5" x14ac:dyDescent="0.2">
      <c r="A701" s="6" t="str">
        <f>HYPERLINK(SUBSTITUTE(T(hl_0),"{0}","442392721195025"),hn_0)</f>
        <v>ОВ</v>
      </c>
      <c r="B701" s="7">
        <v>16400</v>
      </c>
      <c r="C701" s="8" t="s">
        <v>10</v>
      </c>
      <c r="D701" s="8" t="s">
        <v>39</v>
      </c>
      <c r="E701" s="13" t="s">
        <v>49</v>
      </c>
    </row>
    <row r="702" spans="1:5" ht="25.5" x14ac:dyDescent="0.2">
      <c r="A702" s="6" t="str">
        <f>HYPERLINK(SUBSTITUTE(T(hl_0),"{0}","442391283349147"),hn_0)</f>
        <v>ОВ</v>
      </c>
      <c r="B702" s="7">
        <v>39940</v>
      </c>
      <c r="C702" s="8" t="s">
        <v>13</v>
      </c>
      <c r="D702" s="8" t="s">
        <v>11</v>
      </c>
      <c r="E702" s="13" t="s">
        <v>14</v>
      </c>
    </row>
    <row r="703" spans="1:5" ht="25.5" x14ac:dyDescent="0.2">
      <c r="A703" s="6" t="str">
        <f>HYPERLINK(SUBSTITUTE(T(hl_0),"{0}","442391470339955"),hn_0)</f>
        <v>ОВ</v>
      </c>
      <c r="B703" s="7">
        <v>22000</v>
      </c>
      <c r="C703" s="8" t="s">
        <v>51</v>
      </c>
      <c r="D703" s="8" t="s">
        <v>19</v>
      </c>
      <c r="E703" s="13" t="s">
        <v>82</v>
      </c>
    </row>
    <row r="704" spans="1:5" ht="25.5" x14ac:dyDescent="0.2">
      <c r="A704" s="6" t="str">
        <f>HYPERLINK(SUBSTITUTE(T(hl_0),"{0}","442391284078300"),hn_0)</f>
        <v>ОВ</v>
      </c>
      <c r="B704" s="7">
        <v>23845</v>
      </c>
      <c r="C704" s="8" t="s">
        <v>23</v>
      </c>
      <c r="D704" s="8" t="s">
        <v>11</v>
      </c>
      <c r="E704" s="13" t="s">
        <v>24</v>
      </c>
    </row>
    <row r="705" spans="1:5" ht="25.5" x14ac:dyDescent="0.2">
      <c r="A705" s="6" t="str">
        <f>HYPERLINK(SUBSTITUTE(T(hl_0),"{0}","442389665646244"),hn_0)</f>
        <v>ОВ</v>
      </c>
      <c r="B705" s="7">
        <v>20000</v>
      </c>
      <c r="C705" s="8" t="s">
        <v>51</v>
      </c>
      <c r="D705" s="8" t="s">
        <v>11</v>
      </c>
      <c r="E705" s="13" t="s">
        <v>288</v>
      </c>
    </row>
    <row r="706" spans="1:5" ht="38.25" x14ac:dyDescent="0.2">
      <c r="A706" s="6" t="str">
        <f>HYPERLINK(SUBSTITUTE(T(hl_0),"{0}","442388541433469"),hn_0)</f>
        <v>ОВ</v>
      </c>
      <c r="B706" s="7">
        <v>15991.92</v>
      </c>
      <c r="C706" s="8" t="s">
        <v>18</v>
      </c>
      <c r="D706" s="8" t="s">
        <v>25</v>
      </c>
      <c r="E706" s="13" t="s">
        <v>35</v>
      </c>
    </row>
    <row r="707" spans="1:5" ht="38.25" x14ac:dyDescent="0.2">
      <c r="A707" s="6" t="str">
        <f>HYPERLINK(SUBSTITUTE(T(hl_0),"{0}","442386896097966"),hn_0)</f>
        <v>ОВ</v>
      </c>
      <c r="B707" s="7">
        <v>11930</v>
      </c>
      <c r="C707" s="8" t="s">
        <v>72</v>
      </c>
      <c r="D707" s="8" t="s">
        <v>25</v>
      </c>
      <c r="E707" s="13" t="s">
        <v>489</v>
      </c>
    </row>
    <row r="708" spans="1:5" ht="25.5" x14ac:dyDescent="0.2">
      <c r="A708" s="6" t="str">
        <f>HYPERLINK(SUBSTITUTE(T(hl_0),"{0}","442389800876147"),hn_0)</f>
        <v>ОВ</v>
      </c>
      <c r="B708" s="7">
        <v>9100</v>
      </c>
      <c r="C708" s="8" t="s">
        <v>76</v>
      </c>
      <c r="D708" s="8" t="s">
        <v>77</v>
      </c>
      <c r="E708" s="13" t="s">
        <v>78</v>
      </c>
    </row>
    <row r="709" spans="1:5" ht="25.5" x14ac:dyDescent="0.2">
      <c r="A709" s="6" t="str">
        <f>HYPERLINK(SUBSTITUTE(T(hl_0),"{0}","442383740204617"),hn_0)</f>
        <v>ОВ</v>
      </c>
      <c r="B709" s="7">
        <v>14000</v>
      </c>
      <c r="C709" s="8" t="s">
        <v>276</v>
      </c>
      <c r="D709" s="8" t="s">
        <v>11</v>
      </c>
      <c r="E709" s="13" t="s">
        <v>365</v>
      </c>
    </row>
    <row r="710" spans="1:5" ht="25.5" x14ac:dyDescent="0.2">
      <c r="A710" s="6" t="str">
        <f>HYPERLINK(SUBSTITUTE(T(hl_0),"{0}","442384894092048"),hn_0)</f>
        <v>ОВ</v>
      </c>
      <c r="B710" s="7">
        <v>13700</v>
      </c>
      <c r="C710" s="8" t="s">
        <v>148</v>
      </c>
      <c r="D710" s="8" t="s">
        <v>11</v>
      </c>
      <c r="E710" s="13" t="s">
        <v>390</v>
      </c>
    </row>
    <row r="711" spans="1:5" ht="25.5" x14ac:dyDescent="0.2">
      <c r="A711" s="6" t="str">
        <f>HYPERLINK(SUBSTITUTE(T(hl_0),"{0}","442394535163164"),hn_0)</f>
        <v>ОВ</v>
      </c>
      <c r="B711" s="7">
        <v>15000</v>
      </c>
      <c r="C711" s="8" t="s">
        <v>91</v>
      </c>
      <c r="D711" s="8" t="s">
        <v>39</v>
      </c>
      <c r="E711" s="13" t="s">
        <v>490</v>
      </c>
    </row>
    <row r="712" spans="1:5" ht="25.5" x14ac:dyDescent="0.2">
      <c r="A712" s="6" t="str">
        <f>HYPERLINK(SUBSTITUTE(T(hl_0),"{0}","442393905061633"),hn_0)</f>
        <v>ОВ</v>
      </c>
      <c r="B712" s="7">
        <v>8667</v>
      </c>
      <c r="C712" s="8" t="s">
        <v>43</v>
      </c>
      <c r="D712" s="8" t="s">
        <v>11</v>
      </c>
      <c r="E712" s="13" t="s">
        <v>44</v>
      </c>
    </row>
    <row r="713" spans="1:5" ht="25.5" x14ac:dyDescent="0.2">
      <c r="A713" s="6" t="str">
        <f>HYPERLINK(SUBSTITUTE(T(hl_0),"{0}","442394286304447"),hn_0)</f>
        <v>ОВ</v>
      </c>
      <c r="B713" s="7">
        <v>12000</v>
      </c>
      <c r="C713" s="8" t="s">
        <v>306</v>
      </c>
      <c r="D713" s="8" t="s">
        <v>39</v>
      </c>
      <c r="E713" s="13" t="s">
        <v>491</v>
      </c>
    </row>
    <row r="714" spans="1:5" ht="25.5" x14ac:dyDescent="0.2">
      <c r="A714" s="6" t="str">
        <f>HYPERLINK(SUBSTITUTE(T(hl_0),"{0}","442392384371895"),hn_0)</f>
        <v>ОВ</v>
      </c>
      <c r="B714" s="7">
        <v>23000</v>
      </c>
      <c r="C714" s="8" t="s">
        <v>18</v>
      </c>
      <c r="D714" s="8" t="s">
        <v>25</v>
      </c>
      <c r="E714" s="13" t="s">
        <v>26</v>
      </c>
    </row>
    <row r="715" spans="1:5" ht="25.5" x14ac:dyDescent="0.2">
      <c r="A715" s="6" t="str">
        <f>HYPERLINK(SUBSTITUTE(T(hl_0),"{0}","442392721194962"),hn_0)</f>
        <v>ОВ</v>
      </c>
      <c r="B715" s="7">
        <v>16400</v>
      </c>
      <c r="C715" s="8" t="s">
        <v>10</v>
      </c>
      <c r="D715" s="8" t="s">
        <v>39</v>
      </c>
      <c r="E715" s="13" t="s">
        <v>49</v>
      </c>
    </row>
    <row r="716" spans="1:5" ht="25.5" x14ac:dyDescent="0.2">
      <c r="A716" s="6" t="str">
        <f>HYPERLINK(SUBSTITUTE(T(hl_0),"{0}","442391283284092"),hn_0)</f>
        <v>ОВ</v>
      </c>
      <c r="B716" s="7">
        <v>42050</v>
      </c>
      <c r="C716" s="8" t="s">
        <v>102</v>
      </c>
      <c r="D716" s="8" t="s">
        <v>11</v>
      </c>
      <c r="E716" s="13" t="s">
        <v>103</v>
      </c>
    </row>
    <row r="717" spans="1:5" ht="25.5" x14ac:dyDescent="0.2">
      <c r="A717" s="6" t="str">
        <f>HYPERLINK(SUBSTITUTE(T(hl_0),"{0}","442391283326993"),hn_0)</f>
        <v>ОВ</v>
      </c>
      <c r="B717" s="7">
        <v>39940</v>
      </c>
      <c r="C717" s="8" t="s">
        <v>13</v>
      </c>
      <c r="D717" s="8" t="s">
        <v>11</v>
      </c>
      <c r="E717" s="13" t="s">
        <v>14</v>
      </c>
    </row>
    <row r="718" spans="1:5" ht="25.5" x14ac:dyDescent="0.2">
      <c r="A718" s="6" t="str">
        <f>HYPERLINK(SUBSTITUTE(T(hl_0),"{0}","442391284455320"),hn_0)</f>
        <v>ОВ</v>
      </c>
      <c r="B718" s="7">
        <v>10551</v>
      </c>
      <c r="C718" s="8" t="s">
        <v>255</v>
      </c>
      <c r="D718" s="8" t="s">
        <v>11</v>
      </c>
      <c r="E718" s="13" t="s">
        <v>256</v>
      </c>
    </row>
    <row r="719" spans="1:5" ht="25.5" x14ac:dyDescent="0.2">
      <c r="A719" s="6" t="str">
        <f>HYPERLINK(SUBSTITUTE(T(hl_0),"{0}","442392720631755"),hn_0)</f>
        <v>ОВ</v>
      </c>
      <c r="B719" s="7">
        <v>14700</v>
      </c>
      <c r="C719" s="8" t="s">
        <v>53</v>
      </c>
      <c r="D719" s="8" t="s">
        <v>39</v>
      </c>
      <c r="E719" s="13" t="s">
        <v>54</v>
      </c>
    </row>
    <row r="720" spans="1:5" ht="25.5" x14ac:dyDescent="0.2">
      <c r="A720" s="6" t="str">
        <f>HYPERLINK(SUBSTITUTE(T(hl_0),"{0}","442391470338830"),hn_0)</f>
        <v>ОВ</v>
      </c>
      <c r="B720" s="7">
        <v>22000</v>
      </c>
      <c r="C720" s="8" t="s">
        <v>51</v>
      </c>
      <c r="D720" s="8" t="s">
        <v>19</v>
      </c>
      <c r="E720" s="13" t="s">
        <v>82</v>
      </c>
    </row>
    <row r="721" spans="1:5" ht="25.5" x14ac:dyDescent="0.2">
      <c r="A721" s="6" t="str">
        <f>HYPERLINK(SUBSTITUTE(T(hl_0),"{0}","442392384371597"),hn_0)</f>
        <v>ОВ</v>
      </c>
      <c r="B721" s="7">
        <v>23000</v>
      </c>
      <c r="C721" s="8" t="s">
        <v>18</v>
      </c>
      <c r="D721" s="8" t="s">
        <v>25</v>
      </c>
      <c r="E721" s="13" t="s">
        <v>26</v>
      </c>
    </row>
    <row r="722" spans="1:5" ht="25.5" x14ac:dyDescent="0.2">
      <c r="A722" s="6" t="str">
        <f>HYPERLINK(SUBSTITUTE(T(hl_0),"{0}","442389663676632"),hn_0)</f>
        <v>ОВ</v>
      </c>
      <c r="B722" s="7">
        <v>13900</v>
      </c>
      <c r="C722" s="8" t="s">
        <v>51</v>
      </c>
      <c r="D722" s="8" t="s">
        <v>11</v>
      </c>
      <c r="E722" s="13" t="s">
        <v>159</v>
      </c>
    </row>
    <row r="723" spans="1:5" ht="25.5" x14ac:dyDescent="0.2">
      <c r="A723" s="6" t="str">
        <f>HYPERLINK(SUBSTITUTE(T(hl_0),"{0}","442389453172522"),hn_0)</f>
        <v>ОВ</v>
      </c>
      <c r="B723" s="7">
        <v>23000</v>
      </c>
      <c r="C723" s="8" t="s">
        <v>122</v>
      </c>
      <c r="D723" s="8" t="s">
        <v>33</v>
      </c>
      <c r="E723" s="13" t="s">
        <v>388</v>
      </c>
    </row>
    <row r="724" spans="1:5" ht="38.25" x14ac:dyDescent="0.2">
      <c r="A724" s="6" t="str">
        <f>HYPERLINK(SUBSTITUTE(T(hl_0),"{0}","442388541433405"),hn_0)</f>
        <v>ОВ</v>
      </c>
      <c r="B724" s="7">
        <v>15991.92</v>
      </c>
      <c r="C724" s="8" t="s">
        <v>18</v>
      </c>
      <c r="D724" s="8" t="s">
        <v>25</v>
      </c>
      <c r="E724" s="13" t="s">
        <v>35</v>
      </c>
    </row>
    <row r="725" spans="1:5" ht="25.5" x14ac:dyDescent="0.2">
      <c r="A725" s="6" t="str">
        <f>HYPERLINK(SUBSTITUTE(T(hl_0),"{0}","442390243228377"),hn_0)</f>
        <v>ОВ</v>
      </c>
      <c r="B725" s="7">
        <v>10000</v>
      </c>
      <c r="C725" s="8" t="s">
        <v>95</v>
      </c>
      <c r="D725" s="8" t="s">
        <v>138</v>
      </c>
      <c r="E725" s="13" t="s">
        <v>492</v>
      </c>
    </row>
    <row r="726" spans="1:5" ht="25.5" x14ac:dyDescent="0.2">
      <c r="A726" s="6" t="str">
        <f>HYPERLINK(SUBSTITUTE(T(hl_0),"{0}","442388175446872"),hn_0)</f>
        <v>ОВ</v>
      </c>
      <c r="B726" s="7">
        <v>10394.69</v>
      </c>
      <c r="C726" s="8" t="s">
        <v>311</v>
      </c>
      <c r="D726" s="8" t="s">
        <v>11</v>
      </c>
      <c r="E726" s="13" t="s">
        <v>493</v>
      </c>
    </row>
    <row r="727" spans="1:5" ht="38.25" x14ac:dyDescent="0.2">
      <c r="A727" s="6" t="str">
        <f>HYPERLINK(SUBSTITUTE(T(hl_0),"{0}","442388541433970"),hn_0)</f>
        <v>ОВ</v>
      </c>
      <c r="B727" s="7">
        <v>15991.92</v>
      </c>
      <c r="C727" s="8" t="s">
        <v>51</v>
      </c>
      <c r="D727" s="8" t="s">
        <v>25</v>
      </c>
      <c r="E727" s="13" t="s">
        <v>56</v>
      </c>
    </row>
    <row r="728" spans="1:5" ht="25.5" x14ac:dyDescent="0.2">
      <c r="A728" s="6" t="str">
        <f>HYPERLINK(SUBSTITUTE(T(hl_0),"{0}","442384043351459"),hn_0)</f>
        <v>ОВ</v>
      </c>
      <c r="B728" s="7">
        <v>17000</v>
      </c>
      <c r="C728" s="8" t="s">
        <v>191</v>
      </c>
      <c r="D728" s="8" t="s">
        <v>192</v>
      </c>
      <c r="E728" s="13" t="s">
        <v>193</v>
      </c>
    </row>
    <row r="729" spans="1:5" ht="25.5" x14ac:dyDescent="0.2">
      <c r="A729" s="6" t="str">
        <f>HYPERLINK(SUBSTITUTE(T(hl_0),"{0}","442385147890170"),hn_0)</f>
        <v>ОВ</v>
      </c>
      <c r="B729" s="7">
        <v>12000</v>
      </c>
      <c r="C729" s="8" t="s">
        <v>200</v>
      </c>
      <c r="D729" s="8" t="s">
        <v>11</v>
      </c>
      <c r="E729" s="13" t="s">
        <v>201</v>
      </c>
    </row>
    <row r="730" spans="1:5" ht="25.5" x14ac:dyDescent="0.2">
      <c r="A730" s="6" t="str">
        <f>HYPERLINK(SUBSTITUTE(T(hl_0),"{0}","442385111124588"),hn_0)</f>
        <v>ОВ</v>
      </c>
      <c r="B730" s="7">
        <v>9000</v>
      </c>
      <c r="C730" s="8" t="s">
        <v>38</v>
      </c>
      <c r="D730" s="8" t="s">
        <v>39</v>
      </c>
      <c r="E730" s="13" t="s">
        <v>40</v>
      </c>
    </row>
    <row r="731" spans="1:5" ht="25.5" x14ac:dyDescent="0.2">
      <c r="A731" s="6" t="str">
        <f>HYPERLINK(SUBSTITUTE(T(hl_0),"{0}","442395530260505"),hn_0)</f>
        <v>ОВ</v>
      </c>
      <c r="B731" s="7">
        <v>13849</v>
      </c>
      <c r="C731" s="8" t="s">
        <v>294</v>
      </c>
      <c r="D731" s="8" t="s">
        <v>11</v>
      </c>
      <c r="E731" s="13" t="s">
        <v>295</v>
      </c>
    </row>
    <row r="732" spans="1:5" ht="25.5" x14ac:dyDescent="0.2">
      <c r="A732" s="6" t="str">
        <f>HYPERLINK(SUBSTITUTE(T(hl_0),"{0}","442393905135213"),hn_0)</f>
        <v>ОВ</v>
      </c>
      <c r="B732" s="7">
        <v>8667</v>
      </c>
      <c r="C732" s="8" t="s">
        <v>15</v>
      </c>
      <c r="D732" s="8" t="s">
        <v>11</v>
      </c>
      <c r="E732" s="13" t="s">
        <v>155</v>
      </c>
    </row>
    <row r="733" spans="1:5" ht="25.5" x14ac:dyDescent="0.2">
      <c r="A733" s="6" t="str">
        <f>HYPERLINK(SUBSTITUTE(T(hl_0),"{0}","442392720961489"),hn_0)</f>
        <v>ОВ</v>
      </c>
      <c r="B733" s="7">
        <v>18800</v>
      </c>
      <c r="C733" s="8" t="s">
        <v>122</v>
      </c>
      <c r="D733" s="8" t="s">
        <v>39</v>
      </c>
      <c r="E733" s="13" t="s">
        <v>123</v>
      </c>
    </row>
    <row r="734" spans="1:5" ht="25.5" x14ac:dyDescent="0.2">
      <c r="A734" s="6" t="str">
        <f>HYPERLINK(SUBSTITUTE(T(hl_0),"{0}","442392721130305"),hn_0)</f>
        <v>ОВ</v>
      </c>
      <c r="B734" s="7">
        <v>18800</v>
      </c>
      <c r="C734" s="8" t="s">
        <v>95</v>
      </c>
      <c r="D734" s="8" t="s">
        <v>39</v>
      </c>
      <c r="E734" s="13" t="s">
        <v>96</v>
      </c>
    </row>
    <row r="735" spans="1:5" ht="25.5" x14ac:dyDescent="0.2">
      <c r="A735" s="6" t="str">
        <f>HYPERLINK(SUBSTITUTE(T(hl_0),"{0}","442391284076861"),hn_0)</f>
        <v>ОВ</v>
      </c>
      <c r="B735" s="7">
        <v>23845</v>
      </c>
      <c r="C735" s="8" t="s">
        <v>23</v>
      </c>
      <c r="D735" s="8" t="s">
        <v>11</v>
      </c>
      <c r="E735" s="13" t="s">
        <v>24</v>
      </c>
    </row>
    <row r="736" spans="1:5" ht="25.5" x14ac:dyDescent="0.2">
      <c r="A736" s="6" t="str">
        <f>HYPERLINK(SUBSTITUTE(T(hl_0),"{0}","442391435707083"),hn_0)</f>
        <v>ОВ</v>
      </c>
      <c r="B736" s="7">
        <v>18900</v>
      </c>
      <c r="C736" s="8" t="s">
        <v>457</v>
      </c>
      <c r="D736" s="8" t="s">
        <v>70</v>
      </c>
      <c r="E736" s="13" t="s">
        <v>494</v>
      </c>
    </row>
    <row r="737" spans="1:5" ht="25.5" x14ac:dyDescent="0.2">
      <c r="A737" s="6" t="str">
        <f>HYPERLINK(SUBSTITUTE(T(hl_0),"{0}","442391283499300"),hn_0)</f>
        <v>ОВ</v>
      </c>
      <c r="B737" s="7">
        <v>29060</v>
      </c>
      <c r="C737" s="8" t="s">
        <v>51</v>
      </c>
      <c r="D737" s="8" t="s">
        <v>11</v>
      </c>
      <c r="E737" s="13" t="s">
        <v>52</v>
      </c>
    </row>
    <row r="738" spans="1:5" ht="25.5" x14ac:dyDescent="0.2">
      <c r="A738" s="6" t="str">
        <f>HYPERLINK(SUBSTITUTE(T(hl_0),"{0}","442391284071681"),hn_0)</f>
        <v>ОВ</v>
      </c>
      <c r="B738" s="7">
        <v>23845</v>
      </c>
      <c r="C738" s="8" t="s">
        <v>23</v>
      </c>
      <c r="D738" s="8" t="s">
        <v>11</v>
      </c>
      <c r="E738" s="13" t="s">
        <v>24</v>
      </c>
    </row>
    <row r="739" spans="1:5" ht="25.5" x14ac:dyDescent="0.2">
      <c r="A739" s="6" t="str">
        <f>HYPERLINK(SUBSTITUTE(T(hl_0),"{0}","442391142187781"),hn_0)</f>
        <v>ОВ</v>
      </c>
      <c r="B739" s="7">
        <v>18000</v>
      </c>
      <c r="C739" s="8" t="s">
        <v>21</v>
      </c>
      <c r="D739" s="8" t="s">
        <v>11</v>
      </c>
      <c r="E739" s="13" t="s">
        <v>22</v>
      </c>
    </row>
    <row r="740" spans="1:5" ht="25.5" x14ac:dyDescent="0.2">
      <c r="A740" s="6" t="str">
        <f>HYPERLINK(SUBSTITUTE(T(hl_0),"{0}","442392721628708"),hn_0)</f>
        <v>ОВ</v>
      </c>
      <c r="B740" s="7">
        <v>14700</v>
      </c>
      <c r="C740" s="8" t="s">
        <v>10</v>
      </c>
      <c r="D740" s="8" t="s">
        <v>39</v>
      </c>
      <c r="E740" s="13" t="s">
        <v>94</v>
      </c>
    </row>
    <row r="741" spans="1:5" ht="25.5" x14ac:dyDescent="0.2">
      <c r="A741" s="6" t="str">
        <f>HYPERLINK(SUBSTITUTE(T(hl_0),"{0}","442391283499608"),hn_0)</f>
        <v>ОВ</v>
      </c>
      <c r="B741" s="7">
        <v>29060</v>
      </c>
      <c r="C741" s="8" t="s">
        <v>51</v>
      </c>
      <c r="D741" s="8" t="s">
        <v>11</v>
      </c>
      <c r="E741" s="13" t="s">
        <v>52</v>
      </c>
    </row>
    <row r="742" spans="1:5" ht="25.5" x14ac:dyDescent="0.2">
      <c r="A742" s="6" t="str">
        <f>HYPERLINK(SUBSTITUTE(T(hl_0),"{0}","442391284072803"),hn_0)</f>
        <v>ОВ</v>
      </c>
      <c r="B742" s="7">
        <v>23845</v>
      </c>
      <c r="C742" s="8" t="s">
        <v>23</v>
      </c>
      <c r="D742" s="8" t="s">
        <v>11</v>
      </c>
      <c r="E742" s="13" t="s">
        <v>24</v>
      </c>
    </row>
    <row r="743" spans="1:5" ht="51" x14ac:dyDescent="0.2">
      <c r="A743" s="6" t="str">
        <f>HYPERLINK(SUBSTITUTE(T(hl_0),"{0}","442389665575956"),hn_0)</f>
        <v>ОВ</v>
      </c>
      <c r="B743" s="7">
        <v>25000</v>
      </c>
      <c r="C743" s="8" t="s">
        <v>32</v>
      </c>
      <c r="D743" s="8" t="s">
        <v>33</v>
      </c>
      <c r="E743" s="13" t="s">
        <v>34</v>
      </c>
    </row>
    <row r="744" spans="1:5" ht="38.25" x14ac:dyDescent="0.2">
      <c r="A744" s="6" t="str">
        <f>HYPERLINK(SUBSTITUTE(T(hl_0),"{0}","442386197100315"),hn_0)</f>
        <v>ОВ</v>
      </c>
      <c r="B744" s="7">
        <v>14300</v>
      </c>
      <c r="C744" s="8" t="s">
        <v>462</v>
      </c>
      <c r="D744" s="8" t="s">
        <v>30</v>
      </c>
      <c r="E744" s="13" t="s">
        <v>495</v>
      </c>
    </row>
    <row r="745" spans="1:5" ht="25.5" x14ac:dyDescent="0.2">
      <c r="A745" s="6" t="str">
        <f>HYPERLINK(SUBSTITUTE(T(hl_0),"{0}","442395502771760"),hn_0)</f>
        <v>ОВ</v>
      </c>
      <c r="B745" s="7">
        <v>9720</v>
      </c>
      <c r="C745" s="8" t="s">
        <v>276</v>
      </c>
      <c r="D745" s="8" t="s">
        <v>11</v>
      </c>
      <c r="E745" s="13" t="s">
        <v>277</v>
      </c>
    </row>
    <row r="746" spans="1:5" ht="25.5" x14ac:dyDescent="0.2">
      <c r="A746" s="6" t="str">
        <f>HYPERLINK(SUBSTITUTE(T(hl_0),"{0}","442395286497341"),hn_0)</f>
        <v>ОВ</v>
      </c>
      <c r="B746" s="7">
        <v>8200</v>
      </c>
      <c r="C746" s="8" t="s">
        <v>164</v>
      </c>
      <c r="D746" s="8" t="s">
        <v>77</v>
      </c>
      <c r="E746" s="13" t="s">
        <v>496</v>
      </c>
    </row>
    <row r="747" spans="1:5" ht="25.5" x14ac:dyDescent="0.2">
      <c r="A747" s="6" t="str">
        <f>HYPERLINK(SUBSTITUTE(T(hl_0),"{0}","442395502871451"),hn_0)</f>
        <v>ОВ</v>
      </c>
      <c r="B747" s="7">
        <v>8800</v>
      </c>
      <c r="C747" s="8" t="s">
        <v>153</v>
      </c>
      <c r="D747" s="8" t="s">
        <v>11</v>
      </c>
      <c r="E747" s="13" t="s">
        <v>154</v>
      </c>
    </row>
    <row r="748" spans="1:5" ht="25.5" x14ac:dyDescent="0.2">
      <c r="A748" s="6" t="str">
        <f>HYPERLINK(SUBSTITUTE(T(hl_0),"{0}","442395069321672"),hn_0)</f>
        <v>ОВ</v>
      </c>
      <c r="B748" s="7">
        <v>10000</v>
      </c>
      <c r="C748" s="8" t="s">
        <v>137</v>
      </c>
      <c r="D748" s="8" t="s">
        <v>138</v>
      </c>
      <c r="E748" s="13" t="s">
        <v>497</v>
      </c>
    </row>
    <row r="749" spans="1:5" ht="25.5" x14ac:dyDescent="0.2">
      <c r="A749" s="6" t="str">
        <f>HYPERLINK(SUBSTITUTE(T(hl_0),"{0}","442393905090727"),hn_0)</f>
        <v>ОВ</v>
      </c>
      <c r="B749" s="7">
        <v>14000</v>
      </c>
      <c r="C749" s="8" t="s">
        <v>194</v>
      </c>
      <c r="D749" s="8" t="s">
        <v>11</v>
      </c>
      <c r="E749" s="13" t="s">
        <v>419</v>
      </c>
    </row>
    <row r="750" spans="1:5" ht="25.5" x14ac:dyDescent="0.2">
      <c r="A750" s="6" t="str">
        <f>HYPERLINK(SUBSTITUTE(T(hl_0),"{0}","442394900713805"),hn_0)</f>
        <v>ОВ</v>
      </c>
      <c r="B750" s="7">
        <v>13000</v>
      </c>
      <c r="C750" s="8" t="s">
        <v>311</v>
      </c>
      <c r="D750" s="8" t="s">
        <v>30</v>
      </c>
      <c r="E750" s="13" t="s">
        <v>312</v>
      </c>
    </row>
    <row r="751" spans="1:5" ht="25.5" x14ac:dyDescent="0.2">
      <c r="A751" s="6" t="str">
        <f>HYPERLINK(SUBSTITUTE(T(hl_0),"{0}","442393905146303"),hn_0)</f>
        <v>ОВ</v>
      </c>
      <c r="B751" s="7">
        <v>8667</v>
      </c>
      <c r="C751" s="8" t="s">
        <v>122</v>
      </c>
      <c r="D751" s="8" t="s">
        <v>11</v>
      </c>
      <c r="E751" s="13" t="s">
        <v>498</v>
      </c>
    </row>
    <row r="752" spans="1:5" ht="25.5" x14ac:dyDescent="0.2">
      <c r="A752" s="6" t="str">
        <f>HYPERLINK(SUBSTITUTE(T(hl_0),"{0}","442391283308556"),hn_0)</f>
        <v>ОВ</v>
      </c>
      <c r="B752" s="7">
        <v>39940</v>
      </c>
      <c r="C752" s="8" t="s">
        <v>13</v>
      </c>
      <c r="D752" s="8" t="s">
        <v>11</v>
      </c>
      <c r="E752" s="13" t="s">
        <v>14</v>
      </c>
    </row>
    <row r="753" spans="1:5" ht="25.5" x14ac:dyDescent="0.2">
      <c r="A753" s="6" t="str">
        <f>HYPERLINK(SUBSTITUTE(T(hl_0),"{0}","442391283311123"),hn_0)</f>
        <v>ОВ</v>
      </c>
      <c r="B753" s="7">
        <v>39940</v>
      </c>
      <c r="C753" s="8" t="s">
        <v>13</v>
      </c>
      <c r="D753" s="8" t="s">
        <v>11</v>
      </c>
      <c r="E753" s="13" t="s">
        <v>14</v>
      </c>
    </row>
    <row r="754" spans="1:5" ht="25.5" x14ac:dyDescent="0.2">
      <c r="A754" s="6" t="str">
        <f>HYPERLINK(SUBSTITUTE(T(hl_0),"{0}","442391470381187"),hn_0)</f>
        <v>ОВ</v>
      </c>
      <c r="B754" s="7">
        <v>15000</v>
      </c>
      <c r="C754" s="8" t="s">
        <v>131</v>
      </c>
      <c r="D754" s="8" t="s">
        <v>19</v>
      </c>
      <c r="E754" s="13" t="s">
        <v>132</v>
      </c>
    </row>
    <row r="755" spans="1:5" ht="25.5" x14ac:dyDescent="0.2">
      <c r="A755" s="6" t="str">
        <f>HYPERLINK(SUBSTITUTE(T(hl_0),"{0}","442391470376361"),hn_0)</f>
        <v>ОВ</v>
      </c>
      <c r="B755" s="7">
        <v>17000</v>
      </c>
      <c r="C755" s="8" t="s">
        <v>18</v>
      </c>
      <c r="D755" s="8" t="s">
        <v>19</v>
      </c>
      <c r="E755" s="13" t="s">
        <v>20</v>
      </c>
    </row>
    <row r="756" spans="1:5" ht="25.5" x14ac:dyDescent="0.2">
      <c r="A756" s="6" t="str">
        <f>HYPERLINK(SUBSTITUTE(T(hl_0),"{0}","442391470376340"),hn_0)</f>
        <v>ОВ</v>
      </c>
      <c r="B756" s="7">
        <v>17000</v>
      </c>
      <c r="C756" s="8" t="s">
        <v>18</v>
      </c>
      <c r="D756" s="8" t="s">
        <v>19</v>
      </c>
      <c r="E756" s="13" t="s">
        <v>20</v>
      </c>
    </row>
    <row r="757" spans="1:5" ht="25.5" x14ac:dyDescent="0.2">
      <c r="A757" s="6" t="str">
        <f>HYPERLINK(SUBSTITUTE(T(hl_0),"{0}","442392721191564"),hn_0)</f>
        <v>ОВ</v>
      </c>
      <c r="B757" s="7">
        <v>21800</v>
      </c>
      <c r="C757" s="8" t="s">
        <v>10</v>
      </c>
      <c r="D757" s="8" t="s">
        <v>39</v>
      </c>
      <c r="E757" s="13" t="s">
        <v>94</v>
      </c>
    </row>
    <row r="758" spans="1:5" ht="25.5" x14ac:dyDescent="0.2">
      <c r="A758" s="6" t="str">
        <f>HYPERLINK(SUBSTITUTE(T(hl_0),"{0}","442391284014936"),hn_0)</f>
        <v>ОВ</v>
      </c>
      <c r="B758" s="7">
        <v>23845</v>
      </c>
      <c r="C758" s="8" t="s">
        <v>91</v>
      </c>
      <c r="D758" s="8" t="s">
        <v>11</v>
      </c>
      <c r="E758" s="13" t="s">
        <v>92</v>
      </c>
    </row>
    <row r="759" spans="1:5" ht="25.5" x14ac:dyDescent="0.2">
      <c r="A759" s="6" t="str">
        <f>HYPERLINK(SUBSTITUTE(T(hl_0),"{0}","442391470384497"),hn_0)</f>
        <v>ОВ</v>
      </c>
      <c r="B759" s="7">
        <v>15000</v>
      </c>
      <c r="C759" s="8" t="s">
        <v>131</v>
      </c>
      <c r="D759" s="8" t="s">
        <v>19</v>
      </c>
      <c r="E759" s="13" t="s">
        <v>132</v>
      </c>
    </row>
    <row r="760" spans="1:5" ht="25.5" x14ac:dyDescent="0.2">
      <c r="A760" s="6" t="str">
        <f>HYPERLINK(SUBSTITUTE(T(hl_0),"{0}","442392384371657"),hn_0)</f>
        <v>ОВ</v>
      </c>
      <c r="B760" s="7">
        <v>23000</v>
      </c>
      <c r="C760" s="8" t="s">
        <v>18</v>
      </c>
      <c r="D760" s="8" t="s">
        <v>25</v>
      </c>
      <c r="E760" s="13" t="s">
        <v>26</v>
      </c>
    </row>
    <row r="761" spans="1:5" ht="25.5" x14ac:dyDescent="0.2">
      <c r="A761" s="6" t="str">
        <f>HYPERLINK(SUBSTITUTE(T(hl_0),"{0}","442391283275351"),hn_0)</f>
        <v>ОВ</v>
      </c>
      <c r="B761" s="7">
        <v>14000</v>
      </c>
      <c r="C761" s="8" t="s">
        <v>74</v>
      </c>
      <c r="D761" s="8" t="s">
        <v>39</v>
      </c>
      <c r="E761" s="13" t="s">
        <v>75</v>
      </c>
    </row>
    <row r="762" spans="1:5" ht="25.5" x14ac:dyDescent="0.2">
      <c r="A762" s="6" t="str">
        <f>HYPERLINK(SUBSTITUTE(T(hl_0),"{0}","442391284420230"),hn_0)</f>
        <v>ОВ</v>
      </c>
      <c r="B762" s="7">
        <v>24650</v>
      </c>
      <c r="C762" s="8" t="s">
        <v>260</v>
      </c>
      <c r="D762" s="8" t="s">
        <v>11</v>
      </c>
      <c r="E762" s="13" t="s">
        <v>410</v>
      </c>
    </row>
    <row r="763" spans="1:5" ht="25.5" x14ac:dyDescent="0.2">
      <c r="A763" s="6" t="str">
        <f>HYPERLINK(SUBSTITUTE(T(hl_0),"{0}","442391283502066"),hn_0)</f>
        <v>ОВ</v>
      </c>
      <c r="B763" s="7">
        <v>29060</v>
      </c>
      <c r="C763" s="8" t="s">
        <v>51</v>
      </c>
      <c r="D763" s="8" t="s">
        <v>11</v>
      </c>
      <c r="E763" s="13" t="s">
        <v>52</v>
      </c>
    </row>
    <row r="764" spans="1:5" ht="25.5" x14ac:dyDescent="0.2">
      <c r="A764" s="6" t="str">
        <f>HYPERLINK(SUBSTITUTE(T(hl_0),"{0}","442391283284711"),hn_0)</f>
        <v>ОВ</v>
      </c>
      <c r="B764" s="7">
        <v>42050</v>
      </c>
      <c r="C764" s="8" t="s">
        <v>102</v>
      </c>
      <c r="D764" s="8" t="s">
        <v>11</v>
      </c>
      <c r="E764" s="13" t="s">
        <v>103</v>
      </c>
    </row>
    <row r="765" spans="1:5" ht="25.5" x14ac:dyDescent="0.2">
      <c r="A765" s="6" t="str">
        <f>HYPERLINK(SUBSTITUTE(T(hl_0),"{0}","442390379127603"),hn_0)</f>
        <v>ОВ</v>
      </c>
      <c r="B765" s="7">
        <v>13000</v>
      </c>
      <c r="C765" s="8" t="s">
        <v>145</v>
      </c>
      <c r="D765" s="8" t="s">
        <v>11</v>
      </c>
      <c r="E765" s="13" t="s">
        <v>499</v>
      </c>
    </row>
    <row r="766" spans="1:5" ht="25.5" x14ac:dyDescent="0.2">
      <c r="A766" s="6" t="str">
        <f>HYPERLINK(SUBSTITUTE(T(hl_0),"{0}","442391470338269"),hn_0)</f>
        <v>ОВ</v>
      </c>
      <c r="B766" s="7">
        <v>22000</v>
      </c>
      <c r="C766" s="8" t="s">
        <v>51</v>
      </c>
      <c r="D766" s="8" t="s">
        <v>19</v>
      </c>
      <c r="E766" s="13" t="s">
        <v>82</v>
      </c>
    </row>
    <row r="767" spans="1:5" ht="25.5" x14ac:dyDescent="0.2">
      <c r="A767" s="6" t="str">
        <f>HYPERLINK(SUBSTITUTE(T(hl_0),"{0}","442392721493056"),hn_0)</f>
        <v>ОВ</v>
      </c>
      <c r="B767" s="7">
        <v>8300</v>
      </c>
      <c r="C767" s="8" t="s">
        <v>213</v>
      </c>
      <c r="D767" s="8" t="s">
        <v>11</v>
      </c>
      <c r="E767" s="13" t="s">
        <v>214</v>
      </c>
    </row>
    <row r="768" spans="1:5" ht="25.5" x14ac:dyDescent="0.2">
      <c r="A768" s="6" t="str">
        <f>HYPERLINK(SUBSTITUTE(T(hl_0),"{0}","442392721625130"),hn_0)</f>
        <v>ОВ</v>
      </c>
      <c r="B768" s="7">
        <v>18800</v>
      </c>
      <c r="C768" s="8" t="s">
        <v>10</v>
      </c>
      <c r="D768" s="8" t="s">
        <v>39</v>
      </c>
      <c r="E768" s="13" t="s">
        <v>94</v>
      </c>
    </row>
    <row r="769" spans="1:5" ht="25.5" x14ac:dyDescent="0.2">
      <c r="A769" s="6" t="str">
        <f>HYPERLINK(SUBSTITUTE(T(hl_0),"{0}","442392406638182"),hn_0)</f>
        <v>ОВ</v>
      </c>
      <c r="B769" s="7">
        <v>10000</v>
      </c>
      <c r="C769" s="8" t="s">
        <v>236</v>
      </c>
      <c r="D769" s="8" t="s">
        <v>77</v>
      </c>
      <c r="E769" s="13" t="s">
        <v>237</v>
      </c>
    </row>
    <row r="770" spans="1:5" ht="25.5" x14ac:dyDescent="0.2">
      <c r="A770" s="6" t="str">
        <f>HYPERLINK(SUBSTITUTE(T(hl_0),"{0}","442390375350826"),hn_0)</f>
        <v>ОВ</v>
      </c>
      <c r="B770" s="7">
        <v>9000</v>
      </c>
      <c r="C770" s="8" t="s">
        <v>500</v>
      </c>
      <c r="D770" s="8" t="s">
        <v>77</v>
      </c>
      <c r="E770" s="13" t="s">
        <v>501</v>
      </c>
    </row>
    <row r="771" spans="1:5" ht="25.5" x14ac:dyDescent="0.2">
      <c r="A771" s="6" t="str">
        <f>HYPERLINK(SUBSTITUTE(T(hl_0),"{0}","442389665646030"),hn_0)</f>
        <v>ОВ</v>
      </c>
      <c r="B771" s="7">
        <v>20000</v>
      </c>
      <c r="C771" s="8" t="s">
        <v>51</v>
      </c>
      <c r="D771" s="8" t="s">
        <v>11</v>
      </c>
      <c r="E771" s="13" t="s">
        <v>288</v>
      </c>
    </row>
    <row r="772" spans="1:5" ht="25.5" x14ac:dyDescent="0.2">
      <c r="A772" s="6" t="str">
        <f>HYPERLINK(SUBSTITUTE(T(hl_0),"{0}","442387856188666"),hn_0)</f>
        <v>ОВ</v>
      </c>
      <c r="B772" s="7">
        <v>27000</v>
      </c>
      <c r="C772" s="8" t="s">
        <v>213</v>
      </c>
      <c r="D772" s="8" t="s">
        <v>85</v>
      </c>
      <c r="E772" s="13" t="s">
        <v>502</v>
      </c>
    </row>
    <row r="773" spans="1:5" ht="25.5" x14ac:dyDescent="0.2">
      <c r="A773" s="6" t="str">
        <f>HYPERLINK(SUBSTITUTE(T(hl_0),"{0}","442388396958194"),hn_0)</f>
        <v>ОВ</v>
      </c>
      <c r="B773" s="7">
        <v>12650</v>
      </c>
      <c r="C773" s="8" t="s">
        <v>503</v>
      </c>
      <c r="D773" s="8" t="s">
        <v>11</v>
      </c>
      <c r="E773" s="13" t="s">
        <v>504</v>
      </c>
    </row>
    <row r="774" spans="1:5" ht="25.5" x14ac:dyDescent="0.2">
      <c r="A774" s="6" t="str">
        <f>HYPERLINK(SUBSTITUTE(T(hl_0),"{0}","442388539503549"),hn_0)</f>
        <v>ОВ</v>
      </c>
      <c r="B774" s="7">
        <v>21000</v>
      </c>
      <c r="C774" s="8" t="s">
        <v>505</v>
      </c>
      <c r="D774" s="8" t="s">
        <v>334</v>
      </c>
      <c r="E774" s="13" t="s">
        <v>506</v>
      </c>
    </row>
    <row r="775" spans="1:5" ht="25.5" x14ac:dyDescent="0.2">
      <c r="A775" s="6" t="str">
        <f>HYPERLINK(SUBSTITUTE(T(hl_0),"{0}","442386197349842"),hn_0)</f>
        <v>ОВ</v>
      </c>
      <c r="B775" s="7">
        <v>8909.61</v>
      </c>
      <c r="C775" s="8" t="s">
        <v>95</v>
      </c>
      <c r="D775" s="8" t="s">
        <v>11</v>
      </c>
      <c r="E775" s="13" t="s">
        <v>305</v>
      </c>
    </row>
    <row r="776" spans="1:5" ht="25.5" x14ac:dyDescent="0.2">
      <c r="A776" s="6" t="str">
        <f>HYPERLINK(SUBSTITUTE(T(hl_0),"{0}","442386197308627"),hn_0)</f>
        <v>ОВ</v>
      </c>
      <c r="B776" s="7">
        <v>8350.57</v>
      </c>
      <c r="C776" s="8" t="s">
        <v>174</v>
      </c>
      <c r="D776" s="8" t="s">
        <v>11</v>
      </c>
      <c r="E776" s="13" t="s">
        <v>136</v>
      </c>
    </row>
    <row r="777" spans="1:5" ht="25.5" x14ac:dyDescent="0.2">
      <c r="A777" s="6" t="str">
        <f>HYPERLINK(SUBSTITUTE(T(hl_0),"{0}","442384895996983"),hn_0)</f>
        <v>ОВ</v>
      </c>
      <c r="B777" s="7">
        <v>17000</v>
      </c>
      <c r="C777" s="8" t="s">
        <v>191</v>
      </c>
      <c r="D777" s="8" t="s">
        <v>192</v>
      </c>
      <c r="E777" s="13" t="s">
        <v>193</v>
      </c>
    </row>
    <row r="778" spans="1:5" ht="25.5" x14ac:dyDescent="0.2">
      <c r="A778" s="6" t="str">
        <f>HYPERLINK(SUBSTITUTE(T(hl_0),"{0}","442395502883123"),hn_0)</f>
        <v>ОВ</v>
      </c>
      <c r="B778" s="7">
        <v>9500</v>
      </c>
      <c r="C778" s="8" t="s">
        <v>416</v>
      </c>
      <c r="D778" s="8" t="s">
        <v>11</v>
      </c>
      <c r="E778" s="13" t="s">
        <v>417</v>
      </c>
    </row>
    <row r="779" spans="1:5" ht="25.5" x14ac:dyDescent="0.2">
      <c r="A779" s="6" t="str">
        <f>HYPERLINK(SUBSTITUTE(T(hl_0),"{0}","442393905061647"),hn_0)</f>
        <v>ОВ</v>
      </c>
      <c r="B779" s="7">
        <v>8667</v>
      </c>
      <c r="C779" s="8" t="s">
        <v>43</v>
      </c>
      <c r="D779" s="8" t="s">
        <v>11</v>
      </c>
      <c r="E779" s="13" t="s">
        <v>44</v>
      </c>
    </row>
    <row r="780" spans="1:5" ht="25.5" x14ac:dyDescent="0.2">
      <c r="A780" s="6" t="str">
        <f>HYPERLINK(SUBSTITUTE(T(hl_0),"{0}","442393905090632"),hn_0)</f>
        <v>ОВ</v>
      </c>
      <c r="B780" s="7">
        <v>14000</v>
      </c>
      <c r="C780" s="8" t="s">
        <v>194</v>
      </c>
      <c r="D780" s="8" t="s">
        <v>11</v>
      </c>
      <c r="E780" s="13" t="s">
        <v>419</v>
      </c>
    </row>
    <row r="781" spans="1:5" ht="25.5" x14ac:dyDescent="0.2">
      <c r="A781" s="6" t="str">
        <f>HYPERLINK(SUBSTITUTE(T(hl_0),"{0}","442393905146350"),hn_0)</f>
        <v>ОВ</v>
      </c>
      <c r="B781" s="7">
        <v>8667</v>
      </c>
      <c r="C781" s="8" t="s">
        <v>122</v>
      </c>
      <c r="D781" s="8" t="s">
        <v>11</v>
      </c>
      <c r="E781" s="13" t="s">
        <v>498</v>
      </c>
    </row>
    <row r="782" spans="1:5" ht="38.25" x14ac:dyDescent="0.2">
      <c r="A782" s="6" t="str">
        <f>HYPERLINK(SUBSTITUTE(T(hl_0),"{0}","442393371166769"),hn_0)</f>
        <v>ОВ</v>
      </c>
      <c r="B782" s="7">
        <v>11000</v>
      </c>
      <c r="C782" s="8" t="s">
        <v>116</v>
      </c>
      <c r="D782" s="8" t="s">
        <v>11</v>
      </c>
      <c r="E782" s="13" t="s">
        <v>197</v>
      </c>
    </row>
    <row r="783" spans="1:5" ht="76.5" x14ac:dyDescent="0.2">
      <c r="A783" s="6" t="str">
        <f>HYPERLINK(SUBSTITUTE(T(hl_0),"{0}","442393653345590"),hn_0)</f>
        <v>ОВ</v>
      </c>
      <c r="B783" s="7">
        <v>14000</v>
      </c>
      <c r="C783" s="8" t="s">
        <v>41</v>
      </c>
      <c r="D783" s="8" t="s">
        <v>11</v>
      </c>
      <c r="E783" s="13" t="s">
        <v>42</v>
      </c>
    </row>
    <row r="784" spans="1:5" ht="25.5" x14ac:dyDescent="0.2">
      <c r="A784" s="6" t="str">
        <f>HYPERLINK(SUBSTITUTE(T(hl_0),"{0}","442394900719106"),hn_0)</f>
        <v>ОВ</v>
      </c>
      <c r="B784" s="7">
        <v>13000</v>
      </c>
      <c r="C784" s="8" t="s">
        <v>29</v>
      </c>
      <c r="D784" s="8" t="s">
        <v>30</v>
      </c>
      <c r="E784" s="13" t="s">
        <v>507</v>
      </c>
    </row>
    <row r="785" spans="1:5" ht="89.25" x14ac:dyDescent="0.2">
      <c r="A785" s="6" t="str">
        <f>HYPERLINK(SUBSTITUTE(T(hl_0),"{0}","442393653448941"),hn_0)</f>
        <v>ОВ</v>
      </c>
      <c r="B785" s="7">
        <v>14000</v>
      </c>
      <c r="C785" s="8" t="s">
        <v>357</v>
      </c>
      <c r="D785" s="8" t="s">
        <v>11</v>
      </c>
      <c r="E785" s="13" t="s">
        <v>508</v>
      </c>
    </row>
    <row r="786" spans="1:5" ht="25.5" x14ac:dyDescent="0.2">
      <c r="A786" s="6" t="str">
        <f>HYPERLINK(SUBSTITUTE(T(hl_0),"{0}","442392544313180"),hn_0)</f>
        <v>ОВ</v>
      </c>
      <c r="B786" s="7">
        <v>18000</v>
      </c>
      <c r="C786" s="8" t="s">
        <v>337</v>
      </c>
      <c r="D786" s="8" t="s">
        <v>16</v>
      </c>
      <c r="E786" s="13" t="s">
        <v>509</v>
      </c>
    </row>
    <row r="787" spans="1:5" ht="25.5" x14ac:dyDescent="0.2">
      <c r="A787" s="6" t="str">
        <f>HYPERLINK(SUBSTITUTE(T(hl_0),"{0}","442390287904749"),hn_0)</f>
        <v>ОВ</v>
      </c>
      <c r="B787" s="7">
        <v>20000</v>
      </c>
      <c r="C787" s="8" t="s">
        <v>45</v>
      </c>
      <c r="D787" s="8" t="s">
        <v>11</v>
      </c>
      <c r="E787" s="13" t="s">
        <v>99</v>
      </c>
    </row>
    <row r="788" spans="1:5" ht="25.5" x14ac:dyDescent="0.2">
      <c r="A788" s="6" t="str">
        <f>HYPERLINK(SUBSTITUTE(T(hl_0),"{0}","442391470376424"),hn_0)</f>
        <v>ОВ</v>
      </c>
      <c r="B788" s="7">
        <v>17000</v>
      </c>
      <c r="C788" s="8" t="s">
        <v>18</v>
      </c>
      <c r="D788" s="8" t="s">
        <v>19</v>
      </c>
      <c r="E788" s="13" t="s">
        <v>20</v>
      </c>
    </row>
    <row r="789" spans="1:5" ht="25.5" x14ac:dyDescent="0.2">
      <c r="A789" s="6" t="str">
        <f>HYPERLINK(SUBSTITUTE(T(hl_0),"{0}","442390383753262"),hn_0)</f>
        <v>ОВ</v>
      </c>
      <c r="B789" s="7">
        <v>25000</v>
      </c>
      <c r="C789" s="8" t="s">
        <v>102</v>
      </c>
      <c r="D789" s="8" t="s">
        <v>19</v>
      </c>
      <c r="E789" s="13" t="s">
        <v>198</v>
      </c>
    </row>
    <row r="790" spans="1:5" ht="25.5" x14ac:dyDescent="0.2">
      <c r="A790" s="6" t="str">
        <f>HYPERLINK(SUBSTITUTE(T(hl_0),"{0}","442390287859941"),hn_0)</f>
        <v>ОВ</v>
      </c>
      <c r="B790" s="7">
        <v>20000</v>
      </c>
      <c r="C790" s="8" t="s">
        <v>27</v>
      </c>
      <c r="D790" s="8" t="s">
        <v>11</v>
      </c>
      <c r="E790" s="13" t="s">
        <v>28</v>
      </c>
    </row>
    <row r="791" spans="1:5" ht="25.5" x14ac:dyDescent="0.2">
      <c r="A791" s="6" t="str">
        <f>HYPERLINK(SUBSTITUTE(T(hl_0),"{0}","442391470376557"),hn_0)</f>
        <v>ОВ</v>
      </c>
      <c r="B791" s="7">
        <v>17000</v>
      </c>
      <c r="C791" s="8" t="s">
        <v>18</v>
      </c>
      <c r="D791" s="8" t="s">
        <v>19</v>
      </c>
      <c r="E791" s="13" t="s">
        <v>20</v>
      </c>
    </row>
    <row r="792" spans="1:5" ht="25.5" x14ac:dyDescent="0.2">
      <c r="A792" s="6" t="str">
        <f>HYPERLINK(SUBSTITUTE(T(hl_0),"{0}","442391283256227"),hn_0)</f>
        <v>ОВ</v>
      </c>
      <c r="B792" s="7">
        <v>14700</v>
      </c>
      <c r="C792" s="8" t="s">
        <v>97</v>
      </c>
      <c r="D792" s="8" t="s">
        <v>39</v>
      </c>
      <c r="E792" s="13" t="s">
        <v>98</v>
      </c>
    </row>
    <row r="793" spans="1:5" ht="25.5" x14ac:dyDescent="0.2">
      <c r="A793" s="6" t="str">
        <f>HYPERLINK(SUBSTITUTE(T(hl_0),"{0}","442391470339755"),hn_0)</f>
        <v>ОВ</v>
      </c>
      <c r="B793" s="7">
        <v>22000</v>
      </c>
      <c r="C793" s="8" t="s">
        <v>51</v>
      </c>
      <c r="D793" s="8" t="s">
        <v>19</v>
      </c>
      <c r="E793" s="13" t="s">
        <v>82</v>
      </c>
    </row>
    <row r="794" spans="1:5" ht="25.5" x14ac:dyDescent="0.2">
      <c r="A794" s="6" t="str">
        <f>HYPERLINK(SUBSTITUTE(T(hl_0),"{0}","442391283284444"),hn_0)</f>
        <v>ОВ</v>
      </c>
      <c r="B794" s="7">
        <v>42050</v>
      </c>
      <c r="C794" s="8" t="s">
        <v>102</v>
      </c>
      <c r="D794" s="8" t="s">
        <v>11</v>
      </c>
      <c r="E794" s="13" t="s">
        <v>103</v>
      </c>
    </row>
    <row r="795" spans="1:5" ht="25.5" x14ac:dyDescent="0.2">
      <c r="A795" s="6" t="str">
        <f>HYPERLINK(SUBSTITUTE(T(hl_0),"{0}","442392720837867"),hn_0)</f>
        <v>ОВ</v>
      </c>
      <c r="B795" s="7">
        <v>18800</v>
      </c>
      <c r="C795" s="8" t="s">
        <v>122</v>
      </c>
      <c r="D795" s="8" t="s">
        <v>39</v>
      </c>
      <c r="E795" s="13" t="s">
        <v>123</v>
      </c>
    </row>
    <row r="796" spans="1:5" ht="25.5" x14ac:dyDescent="0.2">
      <c r="A796" s="6" t="str">
        <f>HYPERLINK(SUBSTITUTE(T(hl_0),"{0}","442391283499747"),hn_0)</f>
        <v>ОВ</v>
      </c>
      <c r="B796" s="7">
        <v>29060</v>
      </c>
      <c r="C796" s="8" t="s">
        <v>51</v>
      </c>
      <c r="D796" s="8" t="s">
        <v>11</v>
      </c>
      <c r="E796" s="13" t="s">
        <v>52</v>
      </c>
    </row>
    <row r="797" spans="1:5" ht="25.5" x14ac:dyDescent="0.2">
      <c r="A797" s="6" t="str">
        <f>HYPERLINK(SUBSTITUTE(T(hl_0),"{0}","442391141861267"),hn_0)</f>
        <v>ОВ</v>
      </c>
      <c r="B797" s="7">
        <v>14700</v>
      </c>
      <c r="C797" s="8" t="s">
        <v>264</v>
      </c>
      <c r="D797" s="8" t="s">
        <v>265</v>
      </c>
      <c r="E797" s="13" t="s">
        <v>266</v>
      </c>
    </row>
    <row r="798" spans="1:5" ht="25.5" x14ac:dyDescent="0.2">
      <c r="A798" s="6" t="str">
        <f>HYPERLINK(SUBSTITUTE(T(hl_0),"{0}","442391284078586"),hn_0)</f>
        <v>ОВ</v>
      </c>
      <c r="B798" s="7">
        <v>23845</v>
      </c>
      <c r="C798" s="8" t="s">
        <v>23</v>
      </c>
      <c r="D798" s="8" t="s">
        <v>11</v>
      </c>
      <c r="E798" s="13" t="s">
        <v>24</v>
      </c>
    </row>
    <row r="799" spans="1:5" ht="25.5" x14ac:dyDescent="0.2">
      <c r="A799" s="6" t="str">
        <f>HYPERLINK(SUBSTITUTE(T(hl_0),"{0}","442390241875688"),hn_0)</f>
        <v>ОВ</v>
      </c>
      <c r="B799" s="7">
        <v>12200</v>
      </c>
      <c r="C799" s="8" t="s">
        <v>244</v>
      </c>
      <c r="D799" s="8" t="s">
        <v>77</v>
      </c>
      <c r="E799" s="13" t="s">
        <v>245</v>
      </c>
    </row>
    <row r="800" spans="1:5" ht="25.5" x14ac:dyDescent="0.2">
      <c r="A800" s="6" t="str">
        <f>HYPERLINK(SUBSTITUTE(T(hl_0),"{0}","442387213221322"),hn_0)</f>
        <v>ОВ</v>
      </c>
      <c r="B800" s="7">
        <v>14388</v>
      </c>
      <c r="C800" s="8" t="s">
        <v>194</v>
      </c>
      <c r="D800" s="8" t="s">
        <v>77</v>
      </c>
      <c r="E800" s="13" t="s">
        <v>510</v>
      </c>
    </row>
    <row r="801" spans="1:5" ht="25.5" x14ac:dyDescent="0.2">
      <c r="A801" s="6" t="str">
        <f>HYPERLINK(SUBSTITUTE(T(hl_0),"{0}","442389665534836"),hn_0)</f>
        <v>ОВ</v>
      </c>
      <c r="B801" s="7">
        <v>25000</v>
      </c>
      <c r="C801" s="8" t="s">
        <v>379</v>
      </c>
      <c r="D801" s="8" t="s">
        <v>33</v>
      </c>
      <c r="E801" s="13" t="s">
        <v>450</v>
      </c>
    </row>
    <row r="802" spans="1:5" ht="25.5" x14ac:dyDescent="0.2">
      <c r="A802" s="6" t="str">
        <f>HYPERLINK(SUBSTITUTE(T(hl_0),"{0}","442387326210286"),hn_0)</f>
        <v>ОВ</v>
      </c>
      <c r="B802" s="7">
        <v>26000</v>
      </c>
      <c r="C802" s="8" t="s">
        <v>511</v>
      </c>
      <c r="D802" s="8" t="s">
        <v>512</v>
      </c>
      <c r="E802" s="13" t="s">
        <v>513</v>
      </c>
    </row>
    <row r="803" spans="1:5" ht="25.5" x14ac:dyDescent="0.2">
      <c r="A803" s="6" t="str">
        <f>HYPERLINK(SUBSTITUTE(T(hl_0),"{0}","442387143772175"),hn_0)</f>
        <v>ОВ</v>
      </c>
      <c r="B803" s="7">
        <v>8000</v>
      </c>
      <c r="C803" s="8" t="s">
        <v>514</v>
      </c>
      <c r="D803" s="8" t="s">
        <v>11</v>
      </c>
      <c r="E803" s="13" t="s">
        <v>515</v>
      </c>
    </row>
    <row r="804" spans="1:5" ht="38.25" x14ac:dyDescent="0.2">
      <c r="A804" s="6" t="str">
        <f>HYPERLINK(SUBSTITUTE(T(hl_0),"{0}","442388541433271"),hn_0)</f>
        <v>ОВ</v>
      </c>
      <c r="B804" s="7">
        <v>15991.92</v>
      </c>
      <c r="C804" s="8" t="s">
        <v>18</v>
      </c>
      <c r="D804" s="8" t="s">
        <v>25</v>
      </c>
      <c r="E804" s="13" t="s">
        <v>35</v>
      </c>
    </row>
    <row r="805" spans="1:5" ht="25.5" x14ac:dyDescent="0.2">
      <c r="A805" s="6" t="str">
        <f>HYPERLINK(SUBSTITUTE(T(hl_0),"{0}","442395502869677"),hn_0)</f>
        <v>ОВ</v>
      </c>
      <c r="B805" s="7">
        <v>8800</v>
      </c>
      <c r="C805" s="8" t="s">
        <v>153</v>
      </c>
      <c r="D805" s="8" t="s">
        <v>11</v>
      </c>
      <c r="E805" s="13" t="s">
        <v>154</v>
      </c>
    </row>
    <row r="806" spans="1:5" ht="25.5" x14ac:dyDescent="0.2">
      <c r="A806" s="6" t="str">
        <f>HYPERLINK(SUBSTITUTE(T(hl_0),"{0}","442395374018956"),hn_0)</f>
        <v>ОВ</v>
      </c>
      <c r="B806" s="7">
        <v>8500</v>
      </c>
      <c r="C806" s="8" t="s">
        <v>516</v>
      </c>
      <c r="D806" s="8" t="s">
        <v>441</v>
      </c>
      <c r="E806" s="13" t="s">
        <v>517</v>
      </c>
    </row>
    <row r="807" spans="1:5" ht="25.5" x14ac:dyDescent="0.2">
      <c r="A807" s="6" t="str">
        <f>HYPERLINK(SUBSTITUTE(T(hl_0),"{0}","442395188930823"),hn_0)</f>
        <v>ОВ</v>
      </c>
      <c r="B807" s="7">
        <v>10000</v>
      </c>
      <c r="C807" s="8" t="s">
        <v>91</v>
      </c>
      <c r="D807" s="8" t="s">
        <v>11</v>
      </c>
      <c r="E807" s="13" t="s">
        <v>183</v>
      </c>
    </row>
    <row r="808" spans="1:5" ht="38.25" x14ac:dyDescent="0.2">
      <c r="A808" s="6" t="str">
        <f>HYPERLINK(SUBSTITUTE(T(hl_0),"{0}","442395069109027"),hn_0)</f>
        <v>ОВ</v>
      </c>
      <c r="B808" s="7">
        <v>30242</v>
      </c>
      <c r="C808" s="8" t="s">
        <v>211</v>
      </c>
      <c r="D808" s="8" t="s">
        <v>11</v>
      </c>
      <c r="E808" s="13" t="s">
        <v>420</v>
      </c>
    </row>
    <row r="809" spans="1:5" ht="25.5" x14ac:dyDescent="0.2">
      <c r="A809" s="6" t="str">
        <f>HYPERLINK(SUBSTITUTE(T(hl_0),"{0}","442393905109430"),hn_0)</f>
        <v>ОВ</v>
      </c>
      <c r="B809" s="7">
        <v>14000</v>
      </c>
      <c r="C809" s="8" t="s">
        <v>141</v>
      </c>
      <c r="D809" s="8" t="s">
        <v>11</v>
      </c>
      <c r="E809" s="13" t="s">
        <v>142</v>
      </c>
    </row>
    <row r="810" spans="1:5" ht="38.25" x14ac:dyDescent="0.2">
      <c r="A810" s="6" t="str">
        <f>HYPERLINK(SUBSTITUTE(T(hl_0),"{0}","442394286220771"),hn_0)</f>
        <v>ОВ</v>
      </c>
      <c r="B810" s="7">
        <v>12000</v>
      </c>
      <c r="C810" s="8" t="s">
        <v>116</v>
      </c>
      <c r="D810" s="8" t="s">
        <v>39</v>
      </c>
      <c r="E810" s="13" t="s">
        <v>117</v>
      </c>
    </row>
    <row r="811" spans="1:5" ht="25.5" x14ac:dyDescent="0.2">
      <c r="A811" s="6" t="str">
        <f>HYPERLINK(SUBSTITUTE(T(hl_0),"{0}","442391470730275"),hn_0)</f>
        <v>ОВ</v>
      </c>
      <c r="B811" s="7">
        <v>20000</v>
      </c>
      <c r="C811" s="8" t="s">
        <v>315</v>
      </c>
      <c r="D811" s="8" t="s">
        <v>19</v>
      </c>
      <c r="E811" s="13" t="s">
        <v>316</v>
      </c>
    </row>
    <row r="812" spans="1:5" ht="25.5" x14ac:dyDescent="0.2">
      <c r="A812" s="6" t="str">
        <f>HYPERLINK(SUBSTITUTE(T(hl_0),"{0}","442392720539733"),hn_0)</f>
        <v>ОВ</v>
      </c>
      <c r="B812" s="7">
        <v>18800</v>
      </c>
      <c r="C812" s="8" t="s">
        <v>518</v>
      </c>
      <c r="D812" s="8" t="s">
        <v>39</v>
      </c>
      <c r="E812" s="13" t="s">
        <v>519</v>
      </c>
    </row>
    <row r="813" spans="1:5" ht="25.5" x14ac:dyDescent="0.2">
      <c r="A813" s="6" t="str">
        <f>HYPERLINK(SUBSTITUTE(T(hl_0),"{0}","442391470306687"),hn_0)</f>
        <v>ОВ</v>
      </c>
      <c r="B813" s="7">
        <v>25000</v>
      </c>
      <c r="C813" s="8" t="s">
        <v>13</v>
      </c>
      <c r="D813" s="8" t="s">
        <v>19</v>
      </c>
      <c r="E813" s="13" t="s">
        <v>93</v>
      </c>
    </row>
    <row r="814" spans="1:5" ht="25.5" x14ac:dyDescent="0.2">
      <c r="A814" s="6" t="str">
        <f>HYPERLINK(SUBSTITUTE(T(hl_0),"{0}","442391283284120"),hn_0)</f>
        <v>ОВ</v>
      </c>
      <c r="B814" s="7">
        <v>42050</v>
      </c>
      <c r="C814" s="8" t="s">
        <v>102</v>
      </c>
      <c r="D814" s="8" t="s">
        <v>11</v>
      </c>
      <c r="E814" s="13" t="s">
        <v>103</v>
      </c>
    </row>
    <row r="815" spans="1:5" ht="25.5" x14ac:dyDescent="0.2">
      <c r="A815" s="6" t="str">
        <f>HYPERLINK(SUBSTITUTE(T(hl_0),"{0}","442392720455792"),hn_0)</f>
        <v>ОВ</v>
      </c>
      <c r="B815" s="7">
        <v>14700</v>
      </c>
      <c r="C815" s="8" t="s">
        <v>97</v>
      </c>
      <c r="D815" s="8" t="s">
        <v>39</v>
      </c>
      <c r="E815" s="13" t="s">
        <v>98</v>
      </c>
    </row>
    <row r="816" spans="1:5" ht="25.5" x14ac:dyDescent="0.2">
      <c r="A816" s="6" t="str">
        <f>HYPERLINK(SUBSTITUTE(T(hl_0),"{0}","442391284075409"),hn_0)</f>
        <v>ОВ</v>
      </c>
      <c r="B816" s="7">
        <v>23845</v>
      </c>
      <c r="C816" s="8" t="s">
        <v>23</v>
      </c>
      <c r="D816" s="8" t="s">
        <v>11</v>
      </c>
      <c r="E816" s="13" t="s">
        <v>24</v>
      </c>
    </row>
    <row r="817" spans="1:5" ht="25.5" x14ac:dyDescent="0.2">
      <c r="A817" s="6" t="str">
        <f>HYPERLINK(SUBSTITUTE(T(hl_0),"{0}","442391283283968"),hn_0)</f>
        <v>ОВ</v>
      </c>
      <c r="B817" s="7">
        <v>42050</v>
      </c>
      <c r="C817" s="8" t="s">
        <v>102</v>
      </c>
      <c r="D817" s="8" t="s">
        <v>11</v>
      </c>
      <c r="E817" s="13" t="s">
        <v>103</v>
      </c>
    </row>
    <row r="818" spans="1:5" ht="25.5" x14ac:dyDescent="0.2">
      <c r="A818" s="6" t="str">
        <f>HYPERLINK(SUBSTITUTE(T(hl_0),"{0}","442392721194430"),hn_0)</f>
        <v>ОВ</v>
      </c>
      <c r="B818" s="7">
        <v>16400</v>
      </c>
      <c r="C818" s="8" t="s">
        <v>10</v>
      </c>
      <c r="D818" s="8" t="s">
        <v>39</v>
      </c>
      <c r="E818" s="13" t="s">
        <v>49</v>
      </c>
    </row>
    <row r="819" spans="1:5" ht="25.5" x14ac:dyDescent="0.2">
      <c r="A819" s="6" t="str">
        <f>HYPERLINK(SUBSTITUTE(T(hl_0),"{0}","442391284158933"),hn_0)</f>
        <v>ОВ</v>
      </c>
      <c r="B819" s="7">
        <v>23845</v>
      </c>
      <c r="C819" s="8" t="s">
        <v>127</v>
      </c>
      <c r="D819" s="8" t="s">
        <v>11</v>
      </c>
      <c r="E819" s="13" t="s">
        <v>128</v>
      </c>
    </row>
    <row r="820" spans="1:5" ht="25.5" x14ac:dyDescent="0.2">
      <c r="A820" s="6" t="str">
        <f>HYPERLINK(SUBSTITUTE(T(hl_0),"{0}","442392094077513"),hn_0)</f>
        <v>ОВ</v>
      </c>
      <c r="B820" s="7">
        <v>15000</v>
      </c>
      <c r="C820" s="8" t="s">
        <v>66</v>
      </c>
      <c r="D820" s="8" t="s">
        <v>67</v>
      </c>
      <c r="E820" s="13" t="s">
        <v>68</v>
      </c>
    </row>
    <row r="821" spans="1:5" ht="25.5" x14ac:dyDescent="0.2">
      <c r="A821" s="6" t="str">
        <f>HYPERLINK(SUBSTITUTE(T(hl_0),"{0}","442391470307096"),hn_0)</f>
        <v>ОВ</v>
      </c>
      <c r="B821" s="7">
        <v>25000</v>
      </c>
      <c r="C821" s="8" t="s">
        <v>13</v>
      </c>
      <c r="D821" s="8" t="s">
        <v>19</v>
      </c>
      <c r="E821" s="13" t="s">
        <v>93</v>
      </c>
    </row>
    <row r="822" spans="1:5" ht="25.5" x14ac:dyDescent="0.2">
      <c r="A822" s="6" t="str">
        <f>HYPERLINK(SUBSTITUTE(T(hl_0),"{0}","442389451910712"),hn_0)</f>
        <v>ОВ</v>
      </c>
      <c r="B822" s="7">
        <v>25000</v>
      </c>
      <c r="C822" s="8" t="s">
        <v>32</v>
      </c>
      <c r="D822" s="8" t="s">
        <v>33</v>
      </c>
      <c r="E822" s="13" t="s">
        <v>55</v>
      </c>
    </row>
    <row r="823" spans="1:5" ht="25.5" x14ac:dyDescent="0.2">
      <c r="A823" s="6" t="str">
        <f>HYPERLINK(SUBSTITUTE(T(hl_0),"{0}","442388397304156"),hn_0)</f>
        <v>ОВ</v>
      </c>
      <c r="B823" s="7">
        <v>9050</v>
      </c>
      <c r="C823" s="8" t="s">
        <v>520</v>
      </c>
      <c r="D823" s="8" t="s">
        <v>11</v>
      </c>
      <c r="E823" s="13" t="s">
        <v>521</v>
      </c>
    </row>
    <row r="824" spans="1:5" ht="76.5" x14ac:dyDescent="0.2">
      <c r="A824" s="6" t="str">
        <f>HYPERLINK(SUBSTITUTE(T(hl_0),"{0}","442395345318488"),hn_0)</f>
        <v>ОВ</v>
      </c>
      <c r="B824" s="7">
        <v>9000</v>
      </c>
      <c r="C824" s="8" t="s">
        <v>522</v>
      </c>
      <c r="D824" s="8" t="s">
        <v>16</v>
      </c>
      <c r="E824" s="13" t="s">
        <v>523</v>
      </c>
    </row>
    <row r="825" spans="1:5" ht="25.5" x14ac:dyDescent="0.2">
      <c r="A825" s="6" t="str">
        <f>HYPERLINK(SUBSTITUTE(T(hl_0),"{0}","442395187923866"),hn_0)</f>
        <v>ОВ</v>
      </c>
      <c r="B825" s="7">
        <v>10000</v>
      </c>
      <c r="C825" s="8" t="s">
        <v>428</v>
      </c>
      <c r="D825" s="8" t="s">
        <v>441</v>
      </c>
      <c r="E825" s="13" t="s">
        <v>524</v>
      </c>
    </row>
    <row r="826" spans="1:5" ht="25.5" x14ac:dyDescent="0.2">
      <c r="A826" s="6" t="str">
        <f>HYPERLINK(SUBSTITUTE(T(hl_0),"{0}","442394535167958"),hn_0)</f>
        <v>ОВ</v>
      </c>
      <c r="B826" s="7">
        <v>15000</v>
      </c>
      <c r="C826" s="8" t="s">
        <v>91</v>
      </c>
      <c r="D826" s="8" t="s">
        <v>39</v>
      </c>
      <c r="E826" s="13" t="s">
        <v>490</v>
      </c>
    </row>
    <row r="827" spans="1:5" ht="51" x14ac:dyDescent="0.2">
      <c r="A827" s="6" t="str">
        <f>HYPERLINK(SUBSTITUTE(T(hl_0),"{0}","442394709599924"),hn_0)</f>
        <v>ОВ</v>
      </c>
      <c r="B827" s="7">
        <v>8300</v>
      </c>
      <c r="C827" s="8" t="s">
        <v>525</v>
      </c>
      <c r="D827" s="8" t="s">
        <v>39</v>
      </c>
      <c r="E827" s="13" t="s">
        <v>526</v>
      </c>
    </row>
    <row r="828" spans="1:5" ht="25.5" x14ac:dyDescent="0.2">
      <c r="A828" s="6" t="str">
        <f>HYPERLINK(SUBSTITUTE(T(hl_0),"{0}","442393905067400"),hn_0)</f>
        <v>ОВ</v>
      </c>
      <c r="B828" s="7">
        <v>14000</v>
      </c>
      <c r="C828" s="8" t="s">
        <v>250</v>
      </c>
      <c r="D828" s="8" t="s">
        <v>11</v>
      </c>
      <c r="E828" s="13" t="s">
        <v>251</v>
      </c>
    </row>
    <row r="829" spans="1:5" ht="25.5" x14ac:dyDescent="0.2">
      <c r="A829" s="6" t="str">
        <f>HYPERLINK(SUBSTITUTE(T(hl_0),"{0}","442393905068062"),hn_0)</f>
        <v>ОВ</v>
      </c>
      <c r="B829" s="7">
        <v>14000</v>
      </c>
      <c r="C829" s="8" t="s">
        <v>250</v>
      </c>
      <c r="D829" s="8" t="s">
        <v>11</v>
      </c>
      <c r="E829" s="13" t="s">
        <v>251</v>
      </c>
    </row>
    <row r="830" spans="1:5" ht="25.5" x14ac:dyDescent="0.2">
      <c r="A830" s="6" t="str">
        <f>HYPERLINK(SUBSTITUTE(T(hl_0),"{0}","442391470407104"),hn_0)</f>
        <v>ОВ</v>
      </c>
      <c r="B830" s="7">
        <v>20000</v>
      </c>
      <c r="C830" s="8" t="s">
        <v>260</v>
      </c>
      <c r="D830" s="8" t="s">
        <v>19</v>
      </c>
      <c r="E830" s="13" t="s">
        <v>261</v>
      </c>
    </row>
    <row r="831" spans="1:5" ht="25.5" x14ac:dyDescent="0.2">
      <c r="A831" s="6" t="str">
        <f>HYPERLINK(SUBSTITUTE(T(hl_0),"{0}","442390287859975"),hn_0)</f>
        <v>ОВ</v>
      </c>
      <c r="B831" s="7">
        <v>20000</v>
      </c>
      <c r="C831" s="8" t="s">
        <v>27</v>
      </c>
      <c r="D831" s="8" t="s">
        <v>11</v>
      </c>
      <c r="E831" s="13" t="s">
        <v>28</v>
      </c>
    </row>
    <row r="832" spans="1:5" ht="38.25" x14ac:dyDescent="0.2">
      <c r="A832" s="6" t="str">
        <f>HYPERLINK(SUBSTITUTE(T(hl_0),"{0}","442390378228767"),hn_0)</f>
        <v>ОВ</v>
      </c>
      <c r="B832" s="7">
        <v>8000</v>
      </c>
      <c r="C832" s="8" t="s">
        <v>252</v>
      </c>
      <c r="D832" s="8" t="s">
        <v>11</v>
      </c>
      <c r="E832" s="13" t="s">
        <v>527</v>
      </c>
    </row>
    <row r="833" spans="1:5" ht="25.5" x14ac:dyDescent="0.2">
      <c r="A833" s="6" t="str">
        <f>HYPERLINK(SUBSTITUTE(T(hl_0),"{0}","442391284014994"),hn_0)</f>
        <v>ОВ</v>
      </c>
      <c r="B833" s="7">
        <v>23845</v>
      </c>
      <c r="C833" s="8" t="s">
        <v>91</v>
      </c>
      <c r="D833" s="8" t="s">
        <v>11</v>
      </c>
      <c r="E833" s="13" t="s">
        <v>92</v>
      </c>
    </row>
    <row r="834" spans="1:5" ht="25.5" x14ac:dyDescent="0.2">
      <c r="A834" s="6" t="str">
        <f>HYPERLINK(SUBSTITUTE(T(hl_0),"{0}","442392094072506"),hn_0)</f>
        <v>ОВ</v>
      </c>
      <c r="B834" s="7">
        <v>15000</v>
      </c>
      <c r="C834" s="8" t="s">
        <v>66</v>
      </c>
      <c r="D834" s="8" t="s">
        <v>67</v>
      </c>
      <c r="E834" s="13" t="s">
        <v>68</v>
      </c>
    </row>
    <row r="835" spans="1:5" ht="25.5" x14ac:dyDescent="0.2">
      <c r="A835" s="6" t="str">
        <f>HYPERLINK(SUBSTITUTE(T(hl_0),"{0}","442392544230062"),hn_0)</f>
        <v>ОВ</v>
      </c>
      <c r="B835" s="7">
        <v>17000</v>
      </c>
      <c r="C835" s="8" t="s">
        <v>164</v>
      </c>
      <c r="D835" s="8" t="s">
        <v>11</v>
      </c>
      <c r="E835" s="13" t="s">
        <v>449</v>
      </c>
    </row>
    <row r="836" spans="1:5" ht="25.5" x14ac:dyDescent="0.2">
      <c r="A836" s="6" t="str">
        <f>HYPERLINK(SUBSTITUTE(T(hl_0),"{0}","442392406640610"),hn_0)</f>
        <v>ОВ</v>
      </c>
      <c r="B836" s="7">
        <v>9000</v>
      </c>
      <c r="C836" s="8" t="s">
        <v>528</v>
      </c>
      <c r="D836" s="8" t="s">
        <v>77</v>
      </c>
      <c r="E836" s="13" t="s">
        <v>529</v>
      </c>
    </row>
    <row r="837" spans="1:5" ht="25.5" x14ac:dyDescent="0.2">
      <c r="A837" s="6" t="str">
        <f>HYPERLINK(SUBSTITUTE(T(hl_0),"{0}","442391284014953"),hn_0)</f>
        <v>ОВ</v>
      </c>
      <c r="B837" s="7">
        <v>23845</v>
      </c>
      <c r="C837" s="8" t="s">
        <v>91</v>
      </c>
      <c r="D837" s="8" t="s">
        <v>11</v>
      </c>
      <c r="E837" s="13" t="s">
        <v>92</v>
      </c>
    </row>
    <row r="838" spans="1:5" ht="25.5" x14ac:dyDescent="0.2">
      <c r="A838" s="6" t="str">
        <f>HYPERLINK(SUBSTITUTE(T(hl_0),"{0}","442392721471039"),hn_0)</f>
        <v>ОВ</v>
      </c>
      <c r="B838" s="7">
        <v>8300</v>
      </c>
      <c r="C838" s="8" t="s">
        <v>224</v>
      </c>
      <c r="D838" s="8" t="s">
        <v>11</v>
      </c>
      <c r="E838" s="13" t="s">
        <v>225</v>
      </c>
    </row>
    <row r="839" spans="1:5" ht="25.5" x14ac:dyDescent="0.2">
      <c r="A839" s="6" t="str">
        <f>HYPERLINK(SUBSTITUTE(T(hl_0),"{0}","442394652623448"),hn_0)</f>
        <v>ОВ</v>
      </c>
      <c r="B839" s="7">
        <v>8500</v>
      </c>
      <c r="C839" s="8" t="s">
        <v>454</v>
      </c>
      <c r="D839" s="8" t="s">
        <v>77</v>
      </c>
      <c r="E839" s="13" t="s">
        <v>530</v>
      </c>
    </row>
    <row r="840" spans="1:5" ht="25.5" x14ac:dyDescent="0.2">
      <c r="A840" s="6" t="str">
        <f>HYPERLINK(SUBSTITUTE(T(hl_0),"{0}","442395128621128"),hn_0)</f>
        <v>ОВ</v>
      </c>
      <c r="B840" s="7">
        <v>20000</v>
      </c>
      <c r="C840" s="8" t="s">
        <v>62</v>
      </c>
      <c r="D840" s="8" t="s">
        <v>321</v>
      </c>
      <c r="E840" s="13" t="s">
        <v>531</v>
      </c>
    </row>
    <row r="841" spans="1:5" ht="89.25" x14ac:dyDescent="0.2">
      <c r="A841" s="6" t="str">
        <f>HYPERLINK(SUBSTITUTE(T(hl_0),"{0}","442393877230508"),hn_0)</f>
        <v>ОВ</v>
      </c>
      <c r="B841" s="7">
        <v>16400</v>
      </c>
      <c r="C841" s="8" t="s">
        <v>532</v>
      </c>
      <c r="D841" s="8" t="s">
        <v>39</v>
      </c>
      <c r="E841" s="13" t="s">
        <v>533</v>
      </c>
    </row>
    <row r="842" spans="1:5" ht="25.5" x14ac:dyDescent="0.2">
      <c r="A842" s="6" t="str">
        <f>HYPERLINK(SUBSTITUTE(T(hl_0),"{0}","442393877015395"),hn_0)</f>
        <v>ОВ</v>
      </c>
      <c r="B842" s="7">
        <v>8000</v>
      </c>
      <c r="C842" s="8" t="s">
        <v>428</v>
      </c>
      <c r="D842" s="8" t="s">
        <v>11</v>
      </c>
      <c r="E842" s="13" t="s">
        <v>534</v>
      </c>
    </row>
    <row r="843" spans="1:5" ht="25.5" x14ac:dyDescent="0.2">
      <c r="A843" s="6" t="str">
        <f>HYPERLINK(SUBSTITUTE(T(hl_0),"{0}","442395128844118"),hn_0)</f>
        <v>ОВ</v>
      </c>
      <c r="B843" s="7">
        <v>20000</v>
      </c>
      <c r="C843" s="8" t="s">
        <v>535</v>
      </c>
      <c r="D843" s="8" t="s">
        <v>321</v>
      </c>
      <c r="E843" s="13" t="s">
        <v>536</v>
      </c>
    </row>
    <row r="844" spans="1:5" ht="25.5" x14ac:dyDescent="0.2">
      <c r="A844" s="6" t="str">
        <f>HYPERLINK(SUBSTITUTE(T(hl_0),"{0}","442391435688168"),hn_0)</f>
        <v>ОВ</v>
      </c>
      <c r="B844" s="7">
        <v>20160</v>
      </c>
      <c r="C844" s="8" t="s">
        <v>69</v>
      </c>
      <c r="D844" s="8" t="s">
        <v>70</v>
      </c>
      <c r="E844" s="13" t="s">
        <v>71</v>
      </c>
    </row>
    <row r="845" spans="1:5" ht="25.5" x14ac:dyDescent="0.2">
      <c r="A845" s="6" t="str">
        <f>HYPERLINK(SUBSTITUTE(T(hl_0),"{0}","442391470370480"),hn_0)</f>
        <v>ОВ</v>
      </c>
      <c r="B845" s="7">
        <v>10000</v>
      </c>
      <c r="C845" s="8" t="s">
        <v>359</v>
      </c>
      <c r="D845" s="8" t="s">
        <v>19</v>
      </c>
      <c r="E845" s="13" t="s">
        <v>537</v>
      </c>
    </row>
    <row r="846" spans="1:5" ht="25.5" x14ac:dyDescent="0.2">
      <c r="A846" s="6" t="str">
        <f>HYPERLINK(SUBSTITUTE(T(hl_0),"{0}","442391435747989"),hn_0)</f>
        <v>ОВ</v>
      </c>
      <c r="B846" s="7">
        <v>16000</v>
      </c>
      <c r="C846" s="8" t="s">
        <v>15</v>
      </c>
      <c r="D846" s="8" t="s">
        <v>70</v>
      </c>
      <c r="E846" s="13" t="s">
        <v>339</v>
      </c>
    </row>
    <row r="847" spans="1:5" ht="25.5" x14ac:dyDescent="0.2">
      <c r="A847" s="6" t="str">
        <f>HYPERLINK(SUBSTITUTE(T(hl_0),"{0}","442391284449285"),hn_0)</f>
        <v>ОВ</v>
      </c>
      <c r="B847" s="7">
        <v>27850</v>
      </c>
      <c r="C847" s="8" t="s">
        <v>47</v>
      </c>
      <c r="D847" s="8" t="s">
        <v>11</v>
      </c>
      <c r="E847" s="13" t="s">
        <v>48</v>
      </c>
    </row>
    <row r="848" spans="1:5" ht="25.5" x14ac:dyDescent="0.2">
      <c r="A848" s="6" t="str">
        <f>HYPERLINK(SUBSTITUTE(T(hl_0),"{0}","442391283502120"),hn_0)</f>
        <v>ОВ</v>
      </c>
      <c r="B848" s="7">
        <v>29060</v>
      </c>
      <c r="C848" s="8" t="s">
        <v>51</v>
      </c>
      <c r="D848" s="8" t="s">
        <v>11</v>
      </c>
      <c r="E848" s="13" t="s">
        <v>52</v>
      </c>
    </row>
    <row r="849" spans="1:5" ht="25.5" x14ac:dyDescent="0.2">
      <c r="A849" s="6" t="str">
        <f>HYPERLINK(SUBSTITUTE(T(hl_0),"{0}","442391283252992"),hn_0)</f>
        <v>ОВ</v>
      </c>
      <c r="B849" s="7">
        <v>14700</v>
      </c>
      <c r="C849" s="8" t="s">
        <v>97</v>
      </c>
      <c r="D849" s="8" t="s">
        <v>39</v>
      </c>
      <c r="E849" s="13" t="s">
        <v>98</v>
      </c>
    </row>
    <row r="850" spans="1:5" ht="25.5" x14ac:dyDescent="0.2">
      <c r="A850" s="6" t="str">
        <f>HYPERLINK(SUBSTITUTE(T(hl_0),"{0}","442391435707764"),hn_0)</f>
        <v>ОВ</v>
      </c>
      <c r="B850" s="7">
        <v>18900</v>
      </c>
      <c r="C850" s="8" t="s">
        <v>457</v>
      </c>
      <c r="D850" s="8" t="s">
        <v>70</v>
      </c>
      <c r="E850" s="13" t="s">
        <v>494</v>
      </c>
    </row>
    <row r="851" spans="1:5" ht="25.5" x14ac:dyDescent="0.2">
      <c r="A851" s="6" t="str">
        <f>HYPERLINK(SUBSTITUTE(T(hl_0),"{0}","442391718741423"),hn_0)</f>
        <v>ОВ</v>
      </c>
      <c r="B851" s="7">
        <v>11835.76</v>
      </c>
      <c r="C851" s="8" t="s">
        <v>239</v>
      </c>
      <c r="D851" s="8" t="s">
        <v>11</v>
      </c>
      <c r="E851" s="13" t="s">
        <v>538</v>
      </c>
    </row>
    <row r="852" spans="1:5" ht="25.5" x14ac:dyDescent="0.2">
      <c r="A852" s="6" t="str">
        <f>HYPERLINK(SUBSTITUTE(T(hl_0),"{0}","442392721492043"),hn_0)</f>
        <v>ОВ</v>
      </c>
      <c r="B852" s="7">
        <v>8300</v>
      </c>
      <c r="C852" s="8" t="s">
        <v>213</v>
      </c>
      <c r="D852" s="8" t="s">
        <v>11</v>
      </c>
      <c r="E852" s="13" t="s">
        <v>214</v>
      </c>
    </row>
    <row r="853" spans="1:5" ht="25.5" x14ac:dyDescent="0.2">
      <c r="A853" s="6" t="str">
        <f>HYPERLINK(SUBSTITUTE(T(hl_0),"{0}","442391248630233"),hn_0)</f>
        <v>ОВ</v>
      </c>
      <c r="B853" s="7">
        <v>12112</v>
      </c>
      <c r="C853" s="8" t="s">
        <v>539</v>
      </c>
      <c r="D853" s="8" t="s">
        <v>11</v>
      </c>
      <c r="E853" s="13" t="s">
        <v>540</v>
      </c>
    </row>
    <row r="854" spans="1:5" ht="25.5" x14ac:dyDescent="0.2">
      <c r="A854" s="6" t="str">
        <f>HYPERLINK(SUBSTITUTE(T(hl_0),"{0}","442391283318900"),hn_0)</f>
        <v>ОВ</v>
      </c>
      <c r="B854" s="7">
        <v>39940</v>
      </c>
      <c r="C854" s="8" t="s">
        <v>13</v>
      </c>
      <c r="D854" s="8" t="s">
        <v>11</v>
      </c>
      <c r="E854" s="13" t="s">
        <v>14</v>
      </c>
    </row>
    <row r="855" spans="1:5" ht="25.5" x14ac:dyDescent="0.2">
      <c r="A855" s="6" t="str">
        <f>HYPERLINK(SUBSTITUTE(T(hl_0),"{0}","442391284078510"),hn_0)</f>
        <v>ОВ</v>
      </c>
      <c r="B855" s="7">
        <v>23845</v>
      </c>
      <c r="C855" s="8" t="s">
        <v>23</v>
      </c>
      <c r="D855" s="8" t="s">
        <v>11</v>
      </c>
      <c r="E855" s="13" t="s">
        <v>24</v>
      </c>
    </row>
    <row r="856" spans="1:5" ht="38.25" x14ac:dyDescent="0.2">
      <c r="A856" s="6" t="str">
        <f>HYPERLINK(SUBSTITUTE(T(hl_0),"{0}","442392766186936"),hn_0)</f>
        <v>ОВ</v>
      </c>
      <c r="B856" s="7">
        <v>9000</v>
      </c>
      <c r="C856" s="8" t="s">
        <v>541</v>
      </c>
      <c r="D856" s="8" t="s">
        <v>11</v>
      </c>
      <c r="E856" s="13" t="s">
        <v>542</v>
      </c>
    </row>
    <row r="857" spans="1:5" ht="25.5" x14ac:dyDescent="0.2">
      <c r="A857" s="6" t="str">
        <f>HYPERLINK(SUBSTITUTE(T(hl_0),"{0}","442390287884158"),hn_0)</f>
        <v>ОВ</v>
      </c>
      <c r="B857" s="7">
        <v>20000</v>
      </c>
      <c r="C857" s="8" t="s">
        <v>215</v>
      </c>
      <c r="D857" s="8" t="s">
        <v>11</v>
      </c>
      <c r="E857" s="13" t="s">
        <v>216</v>
      </c>
    </row>
    <row r="858" spans="1:5" ht="25.5" x14ac:dyDescent="0.2">
      <c r="A858" s="6" t="str">
        <f>HYPERLINK(SUBSTITUTE(T(hl_0),"{0}","442388541477813"),hn_0)</f>
        <v>ОВ</v>
      </c>
      <c r="B858" s="7">
        <v>19578</v>
      </c>
      <c r="C858" s="8" t="s">
        <v>286</v>
      </c>
      <c r="D858" s="8" t="s">
        <v>25</v>
      </c>
      <c r="E858" s="13" t="s">
        <v>287</v>
      </c>
    </row>
    <row r="859" spans="1:5" ht="25.5" x14ac:dyDescent="0.2">
      <c r="A859" s="6" t="str">
        <f>HYPERLINK(SUBSTITUTE(T(hl_0),"{0}","442388541478255"),hn_0)</f>
        <v>ОВ</v>
      </c>
      <c r="B859" s="7">
        <v>19578</v>
      </c>
      <c r="C859" s="8" t="s">
        <v>286</v>
      </c>
      <c r="D859" s="8" t="s">
        <v>25</v>
      </c>
      <c r="E859" s="13" t="s">
        <v>287</v>
      </c>
    </row>
    <row r="860" spans="1:5" ht="25.5" x14ac:dyDescent="0.2">
      <c r="A860" s="6" t="str">
        <f>HYPERLINK(SUBSTITUTE(T(hl_0),"{0}","442388539316085"),hn_0)</f>
        <v>ОВ</v>
      </c>
      <c r="B860" s="7">
        <v>15000</v>
      </c>
      <c r="C860" s="8" t="s">
        <v>505</v>
      </c>
      <c r="D860" s="8" t="s">
        <v>77</v>
      </c>
      <c r="E860" s="13" t="s">
        <v>543</v>
      </c>
    </row>
    <row r="861" spans="1:5" ht="25.5" x14ac:dyDescent="0.2">
      <c r="A861" s="6" t="str">
        <f>HYPERLINK(SUBSTITUTE(T(hl_0),"{0}","442388435646616"),hn_0)</f>
        <v>ОВ</v>
      </c>
      <c r="B861" s="7">
        <v>8000</v>
      </c>
      <c r="C861" s="8" t="s">
        <v>544</v>
      </c>
      <c r="D861" s="8" t="s">
        <v>80</v>
      </c>
      <c r="E861" s="13" t="s">
        <v>545</v>
      </c>
    </row>
    <row r="862" spans="1:5" ht="25.5" x14ac:dyDescent="0.2">
      <c r="A862" s="6" t="str">
        <f>HYPERLINK(SUBSTITUTE(T(hl_0),"{0}","442389665590011"),hn_0)</f>
        <v>ОВ</v>
      </c>
      <c r="B862" s="7">
        <v>22000</v>
      </c>
      <c r="C862" s="8" t="s">
        <v>51</v>
      </c>
      <c r="D862" s="8" t="s">
        <v>19</v>
      </c>
      <c r="E862" s="13" t="s">
        <v>82</v>
      </c>
    </row>
    <row r="863" spans="1:5" ht="25.5" x14ac:dyDescent="0.2">
      <c r="A863" s="6" t="str">
        <f>HYPERLINK(SUBSTITUTE(T(hl_0),"{0}","442386197314979"),hn_0)</f>
        <v>ОВ</v>
      </c>
      <c r="B863" s="7">
        <v>8000</v>
      </c>
      <c r="C863" s="8" t="s">
        <v>181</v>
      </c>
      <c r="D863" s="8" t="s">
        <v>11</v>
      </c>
      <c r="E863" s="13" t="s">
        <v>182</v>
      </c>
    </row>
    <row r="864" spans="1:5" ht="25.5" x14ac:dyDescent="0.2">
      <c r="A864" s="6" t="str">
        <f>HYPERLINK(SUBSTITUTE(T(hl_0),"{0}","442386197319648"),hn_0)</f>
        <v>ОВ</v>
      </c>
      <c r="B864" s="7">
        <v>11420.75</v>
      </c>
      <c r="C864" s="8" t="s">
        <v>181</v>
      </c>
      <c r="D864" s="8" t="s">
        <v>11</v>
      </c>
      <c r="E864" s="13" t="s">
        <v>182</v>
      </c>
    </row>
    <row r="865" spans="1:5" ht="25.5" x14ac:dyDescent="0.2">
      <c r="A865" s="6" t="str">
        <f>HYPERLINK(SUBSTITUTE(T(hl_0),"{0}","442393905061026"),hn_0)</f>
        <v>ОВ</v>
      </c>
      <c r="B865" s="7">
        <v>8667</v>
      </c>
      <c r="C865" s="8" t="s">
        <v>43</v>
      </c>
      <c r="D865" s="8" t="s">
        <v>11</v>
      </c>
      <c r="E865" s="13" t="s">
        <v>44</v>
      </c>
    </row>
    <row r="866" spans="1:5" ht="25.5" x14ac:dyDescent="0.2">
      <c r="A866" s="6" t="str">
        <f>HYPERLINK(SUBSTITUTE(T(hl_0),"{0}","442393905061499"),hn_0)</f>
        <v>ОВ</v>
      </c>
      <c r="B866" s="7">
        <v>8667</v>
      </c>
      <c r="C866" s="8" t="s">
        <v>43</v>
      </c>
      <c r="D866" s="8" t="s">
        <v>11</v>
      </c>
      <c r="E866" s="13" t="s">
        <v>44</v>
      </c>
    </row>
    <row r="867" spans="1:5" ht="25.5" x14ac:dyDescent="0.2">
      <c r="A867" s="6" t="str">
        <f>HYPERLINK(SUBSTITUTE(T(hl_0),"{0}","442394900954335"),hn_0)</f>
        <v>ОВ</v>
      </c>
      <c r="B867" s="7">
        <v>8500</v>
      </c>
      <c r="C867" s="8" t="s">
        <v>434</v>
      </c>
      <c r="D867" s="8" t="s">
        <v>11</v>
      </c>
      <c r="E867" s="13" t="s">
        <v>435</v>
      </c>
    </row>
    <row r="868" spans="1:5" ht="25.5" x14ac:dyDescent="0.2">
      <c r="A868" s="6" t="str">
        <f>HYPERLINK(SUBSTITUTE(T(hl_0),"{0}","442392406631378"),hn_0)</f>
        <v>ОВ</v>
      </c>
      <c r="B868" s="7">
        <v>10000</v>
      </c>
      <c r="C868" s="8" t="s">
        <v>301</v>
      </c>
      <c r="D868" s="8" t="s">
        <v>77</v>
      </c>
      <c r="E868" s="13" t="s">
        <v>302</v>
      </c>
    </row>
    <row r="869" spans="1:5" ht="25.5" x14ac:dyDescent="0.2">
      <c r="A869" s="6" t="str">
        <f>HYPERLINK(SUBSTITUTE(T(hl_0),"{0}","442391283318299"),hn_0)</f>
        <v>ОВ</v>
      </c>
      <c r="B869" s="7">
        <v>39940</v>
      </c>
      <c r="C869" s="8" t="s">
        <v>13</v>
      </c>
      <c r="D869" s="8" t="s">
        <v>11</v>
      </c>
      <c r="E869" s="13" t="s">
        <v>14</v>
      </c>
    </row>
    <row r="870" spans="1:5" ht="25.5" x14ac:dyDescent="0.2">
      <c r="A870" s="6" t="str">
        <f>HYPERLINK(SUBSTITUTE(T(hl_0),"{0}","442392406631994"),hn_0)</f>
        <v>ОВ</v>
      </c>
      <c r="B870" s="7">
        <v>10000</v>
      </c>
      <c r="C870" s="8" t="s">
        <v>425</v>
      </c>
      <c r="D870" s="8" t="s">
        <v>77</v>
      </c>
      <c r="E870" s="13" t="s">
        <v>426</v>
      </c>
    </row>
    <row r="871" spans="1:5" ht="25.5" x14ac:dyDescent="0.2">
      <c r="A871" s="6" t="str">
        <f>HYPERLINK(SUBSTITUTE(T(hl_0),"{0}","442391283283691"),hn_0)</f>
        <v>ОВ</v>
      </c>
      <c r="B871" s="7">
        <v>42050</v>
      </c>
      <c r="C871" s="8" t="s">
        <v>102</v>
      </c>
      <c r="D871" s="8" t="s">
        <v>11</v>
      </c>
      <c r="E871" s="13" t="s">
        <v>103</v>
      </c>
    </row>
    <row r="872" spans="1:5" ht="25.5" x14ac:dyDescent="0.2">
      <c r="A872" s="6" t="str">
        <f>HYPERLINK(SUBSTITUTE(T(hl_0),"{0}","442391283501619"),hn_0)</f>
        <v>ОВ</v>
      </c>
      <c r="B872" s="7">
        <v>29060</v>
      </c>
      <c r="C872" s="8" t="s">
        <v>51</v>
      </c>
      <c r="D872" s="8" t="s">
        <v>11</v>
      </c>
      <c r="E872" s="13" t="s">
        <v>52</v>
      </c>
    </row>
    <row r="873" spans="1:5" ht="25.5" x14ac:dyDescent="0.2">
      <c r="A873" s="6" t="str">
        <f>HYPERLINK(SUBSTITUTE(T(hl_0),"{0}","442391284077538"),hn_0)</f>
        <v>ОВ</v>
      </c>
      <c r="B873" s="7">
        <v>23845</v>
      </c>
      <c r="C873" s="8" t="s">
        <v>23</v>
      </c>
      <c r="D873" s="8" t="s">
        <v>11</v>
      </c>
      <c r="E873" s="13" t="s">
        <v>24</v>
      </c>
    </row>
    <row r="874" spans="1:5" ht="25.5" x14ac:dyDescent="0.2">
      <c r="A874" s="6" t="str">
        <f>HYPERLINK(SUBSTITUTE(T(hl_0),"{0}","442392721192972"),hn_0)</f>
        <v>ОВ</v>
      </c>
      <c r="B874" s="7">
        <v>14700</v>
      </c>
      <c r="C874" s="8" t="s">
        <v>10</v>
      </c>
      <c r="D874" s="8" t="s">
        <v>39</v>
      </c>
      <c r="E874" s="13" t="s">
        <v>94</v>
      </c>
    </row>
    <row r="875" spans="1:5" ht="25.5" x14ac:dyDescent="0.2">
      <c r="A875" s="6" t="str">
        <f>HYPERLINK(SUBSTITUTE(T(hl_0),"{0}","442391284071653"),hn_0)</f>
        <v>ОВ</v>
      </c>
      <c r="B875" s="7">
        <v>23845</v>
      </c>
      <c r="C875" s="8" t="s">
        <v>23</v>
      </c>
      <c r="D875" s="8" t="s">
        <v>11</v>
      </c>
      <c r="E875" s="13" t="s">
        <v>24</v>
      </c>
    </row>
    <row r="876" spans="1:5" ht="25.5" x14ac:dyDescent="0.2">
      <c r="A876" s="6" t="str">
        <f>HYPERLINK(SUBSTITUTE(T(hl_0),"{0}","442390287806391"),hn_0)</f>
        <v>ОВ</v>
      </c>
      <c r="B876" s="7">
        <v>20000</v>
      </c>
      <c r="C876" s="8" t="s">
        <v>141</v>
      </c>
      <c r="D876" s="8" t="s">
        <v>11</v>
      </c>
      <c r="E876" s="13" t="s">
        <v>199</v>
      </c>
    </row>
    <row r="877" spans="1:5" ht="25.5" x14ac:dyDescent="0.2">
      <c r="A877" s="6" t="str">
        <f>HYPERLINK(SUBSTITUTE(T(hl_0),"{0}","442391284071540"),hn_0)</f>
        <v>ОВ</v>
      </c>
      <c r="B877" s="7">
        <v>23845</v>
      </c>
      <c r="C877" s="8" t="s">
        <v>23</v>
      </c>
      <c r="D877" s="8" t="s">
        <v>11</v>
      </c>
      <c r="E877" s="13" t="s">
        <v>24</v>
      </c>
    </row>
    <row r="878" spans="1:5" ht="25.5" x14ac:dyDescent="0.2">
      <c r="A878" s="6" t="str">
        <f>HYPERLINK(SUBSTITUTE(T(hl_0),"{0}","442391283306218"),hn_0)</f>
        <v>ОВ</v>
      </c>
      <c r="B878" s="7">
        <v>39940</v>
      </c>
      <c r="C878" s="8" t="s">
        <v>13</v>
      </c>
      <c r="D878" s="8" t="s">
        <v>11</v>
      </c>
      <c r="E878" s="13" t="s">
        <v>14</v>
      </c>
    </row>
    <row r="879" spans="1:5" ht="25.5" x14ac:dyDescent="0.2">
      <c r="A879" s="6" t="str">
        <f>HYPERLINK(SUBSTITUTE(T(hl_0),"{0}","442391283499275"),hn_0)</f>
        <v>ОВ</v>
      </c>
      <c r="B879" s="7">
        <v>29060</v>
      </c>
      <c r="C879" s="8" t="s">
        <v>51</v>
      </c>
      <c r="D879" s="8" t="s">
        <v>11</v>
      </c>
      <c r="E879" s="13" t="s">
        <v>52</v>
      </c>
    </row>
    <row r="880" spans="1:5" ht="25.5" x14ac:dyDescent="0.2">
      <c r="A880" s="6" t="str">
        <f>HYPERLINK(SUBSTITUTE(T(hl_0),"{0}","442391283337202"),hn_0)</f>
        <v>ОВ</v>
      </c>
      <c r="B880" s="7">
        <v>39940</v>
      </c>
      <c r="C880" s="8" t="s">
        <v>13</v>
      </c>
      <c r="D880" s="8" t="s">
        <v>11</v>
      </c>
      <c r="E880" s="13" t="s">
        <v>14</v>
      </c>
    </row>
    <row r="881" spans="1:5" ht="38.25" x14ac:dyDescent="0.2">
      <c r="A881" s="6" t="str">
        <f>HYPERLINK(SUBSTITUTE(T(hl_0),"{0}","442389665538049"),hn_0)</f>
        <v>ОВ</v>
      </c>
      <c r="B881" s="7">
        <v>23000</v>
      </c>
      <c r="C881" s="8" t="s">
        <v>122</v>
      </c>
      <c r="D881" s="8" t="s">
        <v>33</v>
      </c>
      <c r="E881" s="13" t="s">
        <v>254</v>
      </c>
    </row>
    <row r="882" spans="1:5" ht="25.5" x14ac:dyDescent="0.2">
      <c r="A882" s="6" t="str">
        <f>HYPERLINK(SUBSTITUTE(T(hl_0),"{0}","442386197271321"),hn_0)</f>
        <v>ОВ</v>
      </c>
      <c r="B882" s="7">
        <v>10197.33</v>
      </c>
      <c r="C882" s="8" t="s">
        <v>247</v>
      </c>
      <c r="D882" s="8" t="s">
        <v>11</v>
      </c>
      <c r="E882" s="13" t="s">
        <v>248</v>
      </c>
    </row>
    <row r="883" spans="1:5" ht="25.5" x14ac:dyDescent="0.2">
      <c r="A883" s="6" t="str">
        <f>HYPERLINK(SUBSTITUTE(T(hl_0),"{0}","442393905135165"),hn_0)</f>
        <v>ОВ</v>
      </c>
      <c r="B883" s="7">
        <v>8667</v>
      </c>
      <c r="C883" s="8" t="s">
        <v>15</v>
      </c>
      <c r="D883" s="8" t="s">
        <v>11</v>
      </c>
      <c r="E883" s="13" t="s">
        <v>155</v>
      </c>
    </row>
    <row r="884" spans="1:5" ht="25.5" x14ac:dyDescent="0.2">
      <c r="A884" s="6" t="str">
        <f>HYPERLINK(SUBSTITUTE(T(hl_0),"{0}","442394504767194"),hn_0)</f>
        <v>ОВ</v>
      </c>
      <c r="B884" s="7">
        <v>10000</v>
      </c>
      <c r="C884" s="8" t="s">
        <v>51</v>
      </c>
      <c r="D884" s="8" t="s">
        <v>11</v>
      </c>
      <c r="E884" s="13" t="s">
        <v>546</v>
      </c>
    </row>
    <row r="885" spans="1:5" ht="25.5" x14ac:dyDescent="0.2">
      <c r="A885" s="6" t="str">
        <f>HYPERLINK(SUBSTITUTE(T(hl_0),"{0}","442393095189111"),hn_0)</f>
        <v>ОВ</v>
      </c>
      <c r="B885" s="7">
        <v>10000</v>
      </c>
      <c r="C885" s="8" t="s">
        <v>76</v>
      </c>
      <c r="D885" s="8" t="s">
        <v>11</v>
      </c>
      <c r="E885" s="13" t="s">
        <v>547</v>
      </c>
    </row>
    <row r="886" spans="1:5" ht="25.5" x14ac:dyDescent="0.2">
      <c r="A886" s="6" t="str">
        <f>HYPERLINK(SUBSTITUTE(T(hl_0),"{0}","442391470376390"),hn_0)</f>
        <v>ОВ</v>
      </c>
      <c r="B886" s="7">
        <v>17000</v>
      </c>
      <c r="C886" s="8" t="s">
        <v>18</v>
      </c>
      <c r="D886" s="8" t="s">
        <v>19</v>
      </c>
      <c r="E886" s="13" t="s">
        <v>20</v>
      </c>
    </row>
    <row r="887" spans="1:5" ht="25.5" x14ac:dyDescent="0.2">
      <c r="A887" s="6" t="str">
        <f>HYPERLINK(SUBSTITUTE(T(hl_0),"{0}","442391283501675"),hn_0)</f>
        <v>ОВ</v>
      </c>
      <c r="B887" s="7">
        <v>29060</v>
      </c>
      <c r="C887" s="8" t="s">
        <v>51</v>
      </c>
      <c r="D887" s="8" t="s">
        <v>11</v>
      </c>
      <c r="E887" s="13" t="s">
        <v>52</v>
      </c>
    </row>
    <row r="888" spans="1:5" ht="25.5" x14ac:dyDescent="0.2">
      <c r="A888" s="6" t="str">
        <f>HYPERLINK(SUBSTITUTE(T(hl_0),"{0}","442391283501459"),hn_0)</f>
        <v>ОВ</v>
      </c>
      <c r="B888" s="7">
        <v>29060</v>
      </c>
      <c r="C888" s="8" t="s">
        <v>51</v>
      </c>
      <c r="D888" s="8" t="s">
        <v>11</v>
      </c>
      <c r="E888" s="13" t="s">
        <v>52</v>
      </c>
    </row>
    <row r="889" spans="1:5" ht="25.5" x14ac:dyDescent="0.2">
      <c r="A889" s="6" t="str">
        <f>HYPERLINK(SUBSTITUTE(T(hl_0),"{0}","442391283501126"),hn_0)</f>
        <v>ОВ</v>
      </c>
      <c r="B889" s="7">
        <v>29060</v>
      </c>
      <c r="C889" s="8" t="s">
        <v>51</v>
      </c>
      <c r="D889" s="8" t="s">
        <v>11</v>
      </c>
      <c r="E889" s="13" t="s">
        <v>52</v>
      </c>
    </row>
    <row r="890" spans="1:5" ht="25.5" x14ac:dyDescent="0.2">
      <c r="A890" s="6" t="str">
        <f>HYPERLINK(SUBSTITUTE(T(hl_0),"{0}","442391470340101"),hn_0)</f>
        <v>ОВ</v>
      </c>
      <c r="B890" s="7">
        <v>22000</v>
      </c>
      <c r="C890" s="8" t="s">
        <v>51</v>
      </c>
      <c r="D890" s="8" t="s">
        <v>19</v>
      </c>
      <c r="E890" s="13" t="s">
        <v>82</v>
      </c>
    </row>
    <row r="891" spans="1:5" ht="25.5" x14ac:dyDescent="0.2">
      <c r="A891" s="6" t="str">
        <f>HYPERLINK(SUBSTITUTE(T(hl_0),"{0}","442390383753444"),hn_0)</f>
        <v>ОВ</v>
      </c>
      <c r="B891" s="7">
        <v>25000</v>
      </c>
      <c r="C891" s="8" t="s">
        <v>102</v>
      </c>
      <c r="D891" s="8" t="s">
        <v>19</v>
      </c>
      <c r="E891" s="13" t="s">
        <v>198</v>
      </c>
    </row>
    <row r="892" spans="1:5" ht="25.5" x14ac:dyDescent="0.2">
      <c r="A892" s="6" t="str">
        <f>HYPERLINK(SUBSTITUTE(T(hl_0),"{0}","442391283308132"),hn_0)</f>
        <v>ОВ</v>
      </c>
      <c r="B892" s="7">
        <v>39940</v>
      </c>
      <c r="C892" s="8" t="s">
        <v>13</v>
      </c>
      <c r="D892" s="8" t="s">
        <v>11</v>
      </c>
      <c r="E892" s="13" t="s">
        <v>14</v>
      </c>
    </row>
    <row r="893" spans="1:5" ht="25.5" x14ac:dyDescent="0.2">
      <c r="A893" s="6" t="str">
        <f>HYPERLINK(SUBSTITUTE(T(hl_0),"{0}","442389493015014"),hn_0)</f>
        <v>ОВ</v>
      </c>
      <c r="B893" s="7">
        <v>8140</v>
      </c>
      <c r="C893" s="8" t="s">
        <v>164</v>
      </c>
      <c r="D893" s="8" t="s">
        <v>11</v>
      </c>
      <c r="E893" s="13" t="s">
        <v>548</v>
      </c>
    </row>
    <row r="894" spans="1:5" ht="25.5" x14ac:dyDescent="0.2">
      <c r="A894" s="6" t="str">
        <f>HYPERLINK(SUBSTITUTE(T(hl_0),"{0}","442387822231144"),hn_0)</f>
        <v>ОВ</v>
      </c>
      <c r="B894" s="7">
        <v>15000</v>
      </c>
      <c r="C894" s="8" t="s">
        <v>15</v>
      </c>
      <c r="D894" s="8" t="s">
        <v>67</v>
      </c>
      <c r="E894" s="13" t="s">
        <v>549</v>
      </c>
    </row>
    <row r="895" spans="1:5" ht="25.5" x14ac:dyDescent="0.2">
      <c r="A895" s="6" t="str">
        <f>HYPERLINK(SUBSTITUTE(T(hl_0),"{0}","442386197208495"),hn_0)</f>
        <v>ОВ</v>
      </c>
      <c r="B895" s="7">
        <v>8000</v>
      </c>
      <c r="C895" s="8" t="s">
        <v>332</v>
      </c>
      <c r="D895" s="8" t="s">
        <v>11</v>
      </c>
      <c r="E895" s="13" t="s">
        <v>550</v>
      </c>
    </row>
    <row r="896" spans="1:5" ht="25.5" x14ac:dyDescent="0.2">
      <c r="A896" s="6" t="str">
        <f>HYPERLINK(SUBSTITUTE(T(hl_0),"{0}","442395313982700"),hn_0)</f>
        <v>ОВ</v>
      </c>
      <c r="B896" s="7">
        <v>8000</v>
      </c>
      <c r="C896" s="8" t="s">
        <v>21</v>
      </c>
      <c r="D896" s="8" t="s">
        <v>11</v>
      </c>
      <c r="E896" s="13" t="s">
        <v>551</v>
      </c>
    </row>
    <row r="897" spans="1:5" ht="38.25" x14ac:dyDescent="0.2">
      <c r="A897" s="6" t="str">
        <f>HYPERLINK(SUBSTITUTE(T(hl_0),"{0}","442395069278631"),hn_0)</f>
        <v>ОВ</v>
      </c>
      <c r="B897" s="7">
        <v>28515</v>
      </c>
      <c r="C897" s="8" t="s">
        <v>51</v>
      </c>
      <c r="D897" s="8" t="s">
        <v>11</v>
      </c>
      <c r="E897" s="13" t="s">
        <v>87</v>
      </c>
    </row>
    <row r="898" spans="1:5" ht="25.5" x14ac:dyDescent="0.2">
      <c r="A898" s="6" t="str">
        <f>HYPERLINK(SUBSTITUTE(T(hl_0),"{0}","442394952731506"),hn_0)</f>
        <v>ОВ</v>
      </c>
      <c r="B898" s="7">
        <v>8000</v>
      </c>
      <c r="C898" s="8" t="s">
        <v>110</v>
      </c>
      <c r="D898" s="8" t="s">
        <v>11</v>
      </c>
      <c r="E898" s="13" t="s">
        <v>552</v>
      </c>
    </row>
    <row r="899" spans="1:5" ht="25.5" x14ac:dyDescent="0.2">
      <c r="A899" s="6" t="str">
        <f>HYPERLINK(SUBSTITUTE(T(hl_0),"{0}","442393905061663"),hn_0)</f>
        <v>ОВ</v>
      </c>
      <c r="B899" s="7">
        <v>8667</v>
      </c>
      <c r="C899" s="8" t="s">
        <v>43</v>
      </c>
      <c r="D899" s="8" t="s">
        <v>11</v>
      </c>
      <c r="E899" s="13" t="s">
        <v>44</v>
      </c>
    </row>
    <row r="900" spans="1:5" ht="25.5" x14ac:dyDescent="0.2">
      <c r="A900" s="6" t="str">
        <f>HYPERLINK(SUBSTITUTE(T(hl_0),"{0}","442394900954304"),hn_0)</f>
        <v>ОВ</v>
      </c>
      <c r="B900" s="7">
        <v>8500</v>
      </c>
      <c r="C900" s="8" t="s">
        <v>434</v>
      </c>
      <c r="D900" s="8" t="s">
        <v>11</v>
      </c>
      <c r="E900" s="13" t="s">
        <v>435</v>
      </c>
    </row>
    <row r="901" spans="1:5" ht="25.5" x14ac:dyDescent="0.2">
      <c r="A901" s="6" t="str">
        <f>HYPERLINK(SUBSTITUTE(T(hl_0),"{0}","442392721194924"),hn_0)</f>
        <v>ОВ</v>
      </c>
      <c r="B901" s="7">
        <v>16400</v>
      </c>
      <c r="C901" s="8" t="s">
        <v>10</v>
      </c>
      <c r="D901" s="8" t="s">
        <v>39</v>
      </c>
      <c r="E901" s="13" t="s">
        <v>49</v>
      </c>
    </row>
    <row r="902" spans="1:5" ht="25.5" x14ac:dyDescent="0.2">
      <c r="A902" s="6" t="str">
        <f>HYPERLINK(SUBSTITUTE(T(hl_0),"{0}","442391284015480"),hn_0)</f>
        <v>ОВ</v>
      </c>
      <c r="B902" s="7">
        <v>23845</v>
      </c>
      <c r="C902" s="8" t="s">
        <v>91</v>
      </c>
      <c r="D902" s="8" t="s">
        <v>11</v>
      </c>
      <c r="E902" s="13" t="s">
        <v>92</v>
      </c>
    </row>
    <row r="903" spans="1:5" ht="25.5" x14ac:dyDescent="0.2">
      <c r="A903" s="6" t="str">
        <f>HYPERLINK(SUBSTITUTE(T(hl_0),"{0}","442391142187641"),hn_0)</f>
        <v>ОВ</v>
      </c>
      <c r="B903" s="7">
        <v>18000</v>
      </c>
      <c r="C903" s="8" t="s">
        <v>21</v>
      </c>
      <c r="D903" s="8" t="s">
        <v>11</v>
      </c>
      <c r="E903" s="13" t="s">
        <v>22</v>
      </c>
    </row>
    <row r="904" spans="1:5" ht="25.5" x14ac:dyDescent="0.2">
      <c r="A904" s="6" t="str">
        <f>HYPERLINK(SUBSTITUTE(T(hl_0),"{0}","442391283499586"),hn_0)</f>
        <v>ОВ</v>
      </c>
      <c r="B904" s="7">
        <v>29060</v>
      </c>
      <c r="C904" s="8" t="s">
        <v>51</v>
      </c>
      <c r="D904" s="8" t="s">
        <v>11</v>
      </c>
      <c r="E904" s="13" t="s">
        <v>52</v>
      </c>
    </row>
    <row r="905" spans="1:5" ht="25.5" x14ac:dyDescent="0.2">
      <c r="A905" s="6" t="str">
        <f>HYPERLINK(SUBSTITUTE(T(hl_0),"{0}","442391284074668"),hn_0)</f>
        <v>ОВ</v>
      </c>
      <c r="B905" s="7">
        <v>23845</v>
      </c>
      <c r="C905" s="8" t="s">
        <v>23</v>
      </c>
      <c r="D905" s="8" t="s">
        <v>11</v>
      </c>
      <c r="E905" s="13" t="s">
        <v>24</v>
      </c>
    </row>
    <row r="906" spans="1:5" ht="25.5" x14ac:dyDescent="0.2">
      <c r="A906" s="6" t="str">
        <f>HYPERLINK(SUBSTITUTE(T(hl_0),"{0}","442391435687945"),hn_0)</f>
        <v>ОВ</v>
      </c>
      <c r="B906" s="7">
        <v>20160</v>
      </c>
      <c r="C906" s="8" t="s">
        <v>69</v>
      </c>
      <c r="D906" s="8" t="s">
        <v>70</v>
      </c>
      <c r="E906" s="13" t="s">
        <v>71</v>
      </c>
    </row>
    <row r="907" spans="1:5" ht="25.5" x14ac:dyDescent="0.2">
      <c r="A907" s="6" t="str">
        <f>HYPERLINK(SUBSTITUTE(T(hl_0),"{0}","442391023209096"),hn_0)</f>
        <v>ОВ</v>
      </c>
      <c r="B907" s="7">
        <v>15000</v>
      </c>
      <c r="C907" s="8" t="s">
        <v>222</v>
      </c>
      <c r="D907" s="8" t="s">
        <v>297</v>
      </c>
      <c r="E907" s="13" t="s">
        <v>553</v>
      </c>
    </row>
    <row r="908" spans="1:5" ht="25.5" x14ac:dyDescent="0.2">
      <c r="A908" s="6" t="str">
        <f>HYPERLINK(SUBSTITUTE(T(hl_0),"{0}","442391283285084"),hn_0)</f>
        <v>ОВ</v>
      </c>
      <c r="B908" s="7">
        <v>42050</v>
      </c>
      <c r="C908" s="8" t="s">
        <v>102</v>
      </c>
      <c r="D908" s="8" t="s">
        <v>11</v>
      </c>
      <c r="E908" s="13" t="s">
        <v>103</v>
      </c>
    </row>
    <row r="909" spans="1:5" ht="25.5" x14ac:dyDescent="0.2">
      <c r="A909" s="6" t="str">
        <f>HYPERLINK(SUBSTITUTE(T(hl_0),"{0}","442389665558722"),hn_0)</f>
        <v>ОВ</v>
      </c>
      <c r="B909" s="7">
        <v>22000</v>
      </c>
      <c r="C909" s="8" t="s">
        <v>57</v>
      </c>
      <c r="D909" s="8" t="s">
        <v>33</v>
      </c>
      <c r="E909" s="13" t="s">
        <v>104</v>
      </c>
    </row>
    <row r="910" spans="1:5" ht="25.5" x14ac:dyDescent="0.2">
      <c r="A910" s="6" t="str">
        <f>HYPERLINK(SUBSTITUTE(T(hl_0),"{0}","442395374834239"),hn_0)</f>
        <v>ОВ</v>
      </c>
      <c r="B910" s="7">
        <v>9500</v>
      </c>
      <c r="C910" s="8" t="s">
        <v>53</v>
      </c>
      <c r="D910" s="8" t="s">
        <v>11</v>
      </c>
      <c r="E910" s="13" t="s">
        <v>554</v>
      </c>
    </row>
    <row r="911" spans="1:5" ht="25.5" x14ac:dyDescent="0.2">
      <c r="A911" s="6" t="str">
        <f>HYPERLINK(SUBSTITUTE(T(hl_0),"{0}","442393905060992"),hn_0)</f>
        <v>ОВ</v>
      </c>
      <c r="B911" s="7">
        <v>8667</v>
      </c>
      <c r="C911" s="8" t="s">
        <v>43</v>
      </c>
      <c r="D911" s="8" t="s">
        <v>11</v>
      </c>
      <c r="E911" s="13" t="s">
        <v>44</v>
      </c>
    </row>
    <row r="912" spans="1:5" ht="38.25" x14ac:dyDescent="0.2">
      <c r="A912" s="6" t="str">
        <f>HYPERLINK(SUBSTITUTE(T(hl_0),"{0}","442394286322597"),hn_0)</f>
        <v>ОВ</v>
      </c>
      <c r="B912" s="7">
        <v>12000</v>
      </c>
      <c r="C912" s="8" t="s">
        <v>145</v>
      </c>
      <c r="D912" s="8" t="s">
        <v>39</v>
      </c>
      <c r="E912" s="13" t="s">
        <v>555</v>
      </c>
    </row>
    <row r="913" spans="1:5" ht="38.25" x14ac:dyDescent="0.2">
      <c r="A913" s="6" t="str">
        <f>HYPERLINK(SUBSTITUTE(T(hl_0),"{0}","442395069077094"),hn_0)</f>
        <v>ОВ</v>
      </c>
      <c r="B913" s="7">
        <v>20214</v>
      </c>
      <c r="C913" s="8" t="s">
        <v>91</v>
      </c>
      <c r="D913" s="8" t="s">
        <v>11</v>
      </c>
      <c r="E913" s="13" t="s">
        <v>556</v>
      </c>
    </row>
    <row r="914" spans="1:5" ht="25.5" x14ac:dyDescent="0.2">
      <c r="A914" s="6" t="str">
        <f>HYPERLINK(SUBSTITUTE(T(hl_0),"{0}","442393905061476"),hn_0)</f>
        <v>ОВ</v>
      </c>
      <c r="B914" s="7">
        <v>8667</v>
      </c>
      <c r="C914" s="8" t="s">
        <v>43</v>
      </c>
      <c r="D914" s="8" t="s">
        <v>11</v>
      </c>
      <c r="E914" s="13" t="s">
        <v>44</v>
      </c>
    </row>
    <row r="915" spans="1:5" ht="25.5" x14ac:dyDescent="0.2">
      <c r="A915" s="6" t="str">
        <f>HYPERLINK(SUBSTITUTE(T(hl_0),"{0}","442391284074514"),hn_0)</f>
        <v>ОВ</v>
      </c>
      <c r="B915" s="7">
        <v>23845</v>
      </c>
      <c r="C915" s="8" t="s">
        <v>23</v>
      </c>
      <c r="D915" s="8" t="s">
        <v>11</v>
      </c>
      <c r="E915" s="13" t="s">
        <v>24</v>
      </c>
    </row>
    <row r="916" spans="1:5" ht="25.5" x14ac:dyDescent="0.2">
      <c r="A916" s="6" t="str">
        <f>HYPERLINK(SUBSTITUTE(T(hl_0),"{0}","442391283334272"),hn_0)</f>
        <v>ОВ</v>
      </c>
      <c r="B916" s="7">
        <v>39940</v>
      </c>
      <c r="C916" s="8" t="s">
        <v>13</v>
      </c>
      <c r="D916" s="8" t="s">
        <v>11</v>
      </c>
      <c r="E916" s="13" t="s">
        <v>14</v>
      </c>
    </row>
    <row r="917" spans="1:5" ht="25.5" x14ac:dyDescent="0.2">
      <c r="A917" s="6" t="str">
        <f>HYPERLINK(SUBSTITUTE(T(hl_0),"{0}","442392384400163"),hn_0)</f>
        <v>ОВ</v>
      </c>
      <c r="B917" s="7">
        <v>8000</v>
      </c>
      <c r="C917" s="8" t="s">
        <v>105</v>
      </c>
      <c r="D917" s="8" t="s">
        <v>25</v>
      </c>
      <c r="E917" s="13" t="s">
        <v>557</v>
      </c>
    </row>
    <row r="918" spans="1:5" ht="25.5" x14ac:dyDescent="0.2">
      <c r="A918" s="6" t="str">
        <f>HYPERLINK(SUBSTITUTE(T(hl_0),"{0}","442391142187406"),hn_0)</f>
        <v>ОВ</v>
      </c>
      <c r="B918" s="7">
        <v>18000</v>
      </c>
      <c r="C918" s="8" t="s">
        <v>21</v>
      </c>
      <c r="D918" s="8" t="s">
        <v>11</v>
      </c>
      <c r="E918" s="13" t="s">
        <v>22</v>
      </c>
    </row>
    <row r="919" spans="1:5" ht="25.5" x14ac:dyDescent="0.2">
      <c r="A919" s="6" t="str">
        <f>HYPERLINK(SUBSTITUTE(T(hl_0),"{0}","442391470307335"),hn_0)</f>
        <v>ОВ</v>
      </c>
      <c r="B919" s="7">
        <v>25000</v>
      </c>
      <c r="C919" s="8" t="s">
        <v>13</v>
      </c>
      <c r="D919" s="8" t="s">
        <v>19</v>
      </c>
      <c r="E919" s="13" t="s">
        <v>93</v>
      </c>
    </row>
    <row r="920" spans="1:5" ht="25.5" x14ac:dyDescent="0.2">
      <c r="A920" s="6" t="str">
        <f>HYPERLINK(SUBSTITUTE(T(hl_0),"{0}","442388541477491"),hn_0)</f>
        <v>ОВ</v>
      </c>
      <c r="B920" s="7">
        <v>19578</v>
      </c>
      <c r="C920" s="8" t="s">
        <v>286</v>
      </c>
      <c r="D920" s="8" t="s">
        <v>25</v>
      </c>
      <c r="E920" s="13" t="s">
        <v>287</v>
      </c>
    </row>
    <row r="921" spans="1:5" ht="25.5" x14ac:dyDescent="0.2">
      <c r="A921" s="6" t="str">
        <f>HYPERLINK(SUBSTITUTE(T(hl_0),"{0}","442389453172582"),hn_0)</f>
        <v>ОВ</v>
      </c>
      <c r="B921" s="7">
        <v>23000</v>
      </c>
      <c r="C921" s="8" t="s">
        <v>122</v>
      </c>
      <c r="D921" s="8" t="s">
        <v>33</v>
      </c>
      <c r="E921" s="13" t="s">
        <v>388</v>
      </c>
    </row>
    <row r="922" spans="1:5" ht="25.5" x14ac:dyDescent="0.2">
      <c r="A922" s="6" t="str">
        <f>HYPERLINK(SUBSTITUTE(T(hl_0),"{0}","442388942827227"),hn_0)</f>
        <v>ОВ</v>
      </c>
      <c r="B922" s="7">
        <v>8000</v>
      </c>
      <c r="C922" s="8" t="s">
        <v>15</v>
      </c>
      <c r="D922" s="8" t="s">
        <v>11</v>
      </c>
      <c r="E922" s="13" t="s">
        <v>558</v>
      </c>
    </row>
    <row r="923" spans="1:5" ht="25.5" x14ac:dyDescent="0.2">
      <c r="A923" s="6" t="str">
        <f>HYPERLINK(SUBSTITUTE(T(hl_0),"{0}","442390220268305"),hn_0)</f>
        <v>ОВ</v>
      </c>
      <c r="B923" s="7">
        <v>20000</v>
      </c>
      <c r="C923" s="8" t="s">
        <v>36</v>
      </c>
      <c r="D923" s="8" t="s">
        <v>11</v>
      </c>
      <c r="E923" s="13" t="s">
        <v>37</v>
      </c>
    </row>
    <row r="924" spans="1:5" ht="25.5" x14ac:dyDescent="0.2">
      <c r="A924" s="6" t="str">
        <f>HYPERLINK(SUBSTITUTE(T(hl_0),"{0}","442389800876010"),hn_0)</f>
        <v>ОВ</v>
      </c>
      <c r="B924" s="7">
        <v>9100</v>
      </c>
      <c r="C924" s="8" t="s">
        <v>76</v>
      </c>
      <c r="D924" s="8" t="s">
        <v>77</v>
      </c>
      <c r="E924" s="13" t="s">
        <v>78</v>
      </c>
    </row>
    <row r="925" spans="1:5" ht="25.5" x14ac:dyDescent="0.2">
      <c r="A925" s="6" t="str">
        <f>HYPERLINK(SUBSTITUTE(T(hl_0),"{0}","442384894145597"),hn_0)</f>
        <v>ОВ</v>
      </c>
      <c r="B925" s="7">
        <v>13700</v>
      </c>
      <c r="C925" s="8" t="s">
        <v>89</v>
      </c>
      <c r="D925" s="8" t="s">
        <v>11</v>
      </c>
      <c r="E925" s="13" t="s">
        <v>559</v>
      </c>
    </row>
    <row r="926" spans="1:5" ht="25.5" x14ac:dyDescent="0.2">
      <c r="A926" s="6" t="str">
        <f>HYPERLINK(SUBSTITUTE(T(hl_0),"{0}","442395502973893"),hn_0)</f>
        <v>ОВ</v>
      </c>
      <c r="B926" s="7">
        <v>10000</v>
      </c>
      <c r="C926" s="8" t="s">
        <v>29</v>
      </c>
      <c r="D926" s="8" t="s">
        <v>85</v>
      </c>
      <c r="E926" s="13" t="s">
        <v>560</v>
      </c>
    </row>
    <row r="927" spans="1:5" ht="38.25" x14ac:dyDescent="0.2">
      <c r="A927" s="6" t="str">
        <f>HYPERLINK(SUBSTITUTE(T(hl_0),"{0}","442395069170041"),hn_0)</f>
        <v>ОВ</v>
      </c>
      <c r="B927" s="7">
        <v>22525</v>
      </c>
      <c r="C927" s="8" t="s">
        <v>18</v>
      </c>
      <c r="D927" s="8" t="s">
        <v>11</v>
      </c>
      <c r="E927" s="13" t="s">
        <v>140</v>
      </c>
    </row>
    <row r="928" spans="1:5" ht="25.5" x14ac:dyDescent="0.2">
      <c r="A928" s="6" t="str">
        <f>HYPERLINK(SUBSTITUTE(T(hl_0),"{0}","442394535167932"),hn_0)</f>
        <v>ОВ</v>
      </c>
      <c r="B928" s="7">
        <v>15000</v>
      </c>
      <c r="C928" s="8" t="s">
        <v>91</v>
      </c>
      <c r="D928" s="8" t="s">
        <v>39</v>
      </c>
      <c r="E928" s="13" t="s">
        <v>490</v>
      </c>
    </row>
    <row r="929" spans="1:5" ht="25.5" x14ac:dyDescent="0.2">
      <c r="A929" s="6" t="str">
        <f>HYPERLINK(SUBSTITUTE(T(hl_0),"{0}","442393371145327"),hn_0)</f>
        <v>ОВ</v>
      </c>
      <c r="B929" s="7">
        <v>13000</v>
      </c>
      <c r="C929" s="8" t="s">
        <v>105</v>
      </c>
      <c r="D929" s="8" t="s">
        <v>11</v>
      </c>
      <c r="E929" s="13" t="s">
        <v>112</v>
      </c>
    </row>
    <row r="930" spans="1:5" ht="89.25" x14ac:dyDescent="0.2">
      <c r="A930" s="6" t="str">
        <f>HYPERLINK(SUBSTITUTE(T(hl_0),"{0}","442393653698919"),hn_0)</f>
        <v>ОВ</v>
      </c>
      <c r="B930" s="7">
        <v>14000</v>
      </c>
      <c r="C930" s="8" t="s">
        <v>357</v>
      </c>
      <c r="D930" s="8" t="s">
        <v>11</v>
      </c>
      <c r="E930" s="13" t="s">
        <v>508</v>
      </c>
    </row>
    <row r="931" spans="1:5" ht="38.25" x14ac:dyDescent="0.2">
      <c r="A931" s="6" t="str">
        <f>HYPERLINK(SUBSTITUTE(T(hl_0),"{0}","442393673916837"),hn_0)</f>
        <v>ОВ</v>
      </c>
      <c r="B931" s="7">
        <v>8100</v>
      </c>
      <c r="C931" s="8" t="s">
        <v>250</v>
      </c>
      <c r="D931" s="8" t="s">
        <v>11</v>
      </c>
      <c r="E931" s="13" t="s">
        <v>561</v>
      </c>
    </row>
    <row r="932" spans="1:5" ht="25.5" x14ac:dyDescent="0.2">
      <c r="A932" s="6" t="str">
        <f>HYPERLINK(SUBSTITUTE(T(hl_0),"{0}","442391284073403"),hn_0)</f>
        <v>ОВ</v>
      </c>
      <c r="B932" s="7">
        <v>23845</v>
      </c>
      <c r="C932" s="8" t="s">
        <v>23</v>
      </c>
      <c r="D932" s="8" t="s">
        <v>11</v>
      </c>
      <c r="E932" s="13" t="s">
        <v>24</v>
      </c>
    </row>
    <row r="933" spans="1:5" ht="25.5" x14ac:dyDescent="0.2">
      <c r="A933" s="6" t="str">
        <f>HYPERLINK(SUBSTITUTE(T(hl_0),"{0}","442391283321504"),hn_0)</f>
        <v>ОВ</v>
      </c>
      <c r="B933" s="7">
        <v>39940</v>
      </c>
      <c r="C933" s="8" t="s">
        <v>13</v>
      </c>
      <c r="D933" s="8" t="s">
        <v>11</v>
      </c>
      <c r="E933" s="13" t="s">
        <v>14</v>
      </c>
    </row>
    <row r="934" spans="1:5" ht="25.5" x14ac:dyDescent="0.2">
      <c r="A934" s="6" t="str">
        <f>HYPERLINK(SUBSTITUTE(T(hl_0),"{0}","442392720466193"),hn_0)</f>
        <v>ОВ</v>
      </c>
      <c r="B934" s="7">
        <v>14000</v>
      </c>
      <c r="C934" s="8" t="s">
        <v>74</v>
      </c>
      <c r="D934" s="8" t="s">
        <v>39</v>
      </c>
      <c r="E934" s="13" t="s">
        <v>75</v>
      </c>
    </row>
    <row r="935" spans="1:5" ht="25.5" x14ac:dyDescent="0.2">
      <c r="A935" s="6" t="str">
        <f>HYPERLINK(SUBSTITUTE(T(hl_0),"{0}","442392720696991"),hn_0)</f>
        <v>ОВ</v>
      </c>
      <c r="B935" s="7">
        <v>16100</v>
      </c>
      <c r="C935" s="8" t="s">
        <v>355</v>
      </c>
      <c r="D935" s="8" t="s">
        <v>39</v>
      </c>
      <c r="E935" s="13" t="s">
        <v>356</v>
      </c>
    </row>
    <row r="936" spans="1:5" ht="25.5" x14ac:dyDescent="0.2">
      <c r="A936" s="6" t="str">
        <f>HYPERLINK(SUBSTITUTE(T(hl_0),"{0}","442390729799228"),hn_0)</f>
        <v>ОВ</v>
      </c>
      <c r="B936" s="7">
        <v>25000</v>
      </c>
      <c r="C936" s="8" t="s">
        <v>10</v>
      </c>
      <c r="D936" s="8" t="s">
        <v>67</v>
      </c>
      <c r="E936" s="13" t="s">
        <v>562</v>
      </c>
    </row>
    <row r="937" spans="1:5" ht="25.5" x14ac:dyDescent="0.2">
      <c r="A937" s="6" t="str">
        <f>HYPERLINK(SUBSTITUTE(T(hl_0),"{0}","442392721132045"),hn_0)</f>
        <v>ОВ</v>
      </c>
      <c r="B937" s="7">
        <v>21800</v>
      </c>
      <c r="C937" s="8" t="s">
        <v>95</v>
      </c>
      <c r="D937" s="8" t="s">
        <v>39</v>
      </c>
      <c r="E937" s="13" t="s">
        <v>96</v>
      </c>
    </row>
    <row r="938" spans="1:5" ht="25.5" x14ac:dyDescent="0.2">
      <c r="A938" s="6" t="str">
        <f>HYPERLINK(SUBSTITUTE(T(hl_0),"{0}","442391141791360"),hn_0)</f>
        <v>ОВ</v>
      </c>
      <c r="B938" s="7">
        <v>16000</v>
      </c>
      <c r="C938" s="8" t="s">
        <v>222</v>
      </c>
      <c r="D938" s="8" t="s">
        <v>265</v>
      </c>
      <c r="E938" s="13" t="s">
        <v>563</v>
      </c>
    </row>
    <row r="939" spans="1:5" ht="38.25" x14ac:dyDescent="0.2">
      <c r="A939" s="6" t="str">
        <f>HYPERLINK(SUBSTITUTE(T(hl_0),"{0}","442388541433900"),hn_0)</f>
        <v>ОВ</v>
      </c>
      <c r="B939" s="7">
        <v>15991.92</v>
      </c>
      <c r="C939" s="8" t="s">
        <v>51</v>
      </c>
      <c r="D939" s="8" t="s">
        <v>25</v>
      </c>
      <c r="E939" s="13" t="s">
        <v>56</v>
      </c>
    </row>
    <row r="940" spans="1:5" ht="25.5" x14ac:dyDescent="0.2">
      <c r="A940" s="6" t="str">
        <f>HYPERLINK(SUBSTITUTE(T(hl_0),"{0}","442390241875658"),hn_0)</f>
        <v>ОВ</v>
      </c>
      <c r="B940" s="7">
        <v>12200</v>
      </c>
      <c r="C940" s="8" t="s">
        <v>244</v>
      </c>
      <c r="D940" s="8" t="s">
        <v>77</v>
      </c>
      <c r="E940" s="13" t="s">
        <v>245</v>
      </c>
    </row>
    <row r="941" spans="1:5" ht="25.5" x14ac:dyDescent="0.2">
      <c r="A941" s="6" t="str">
        <f>HYPERLINK(SUBSTITUTE(T(hl_0),"{0}","442387673603400"),hn_0)</f>
        <v>ОВ</v>
      </c>
      <c r="B941" s="7">
        <v>8000</v>
      </c>
      <c r="C941" s="8" t="s">
        <v>145</v>
      </c>
      <c r="D941" s="8" t="s">
        <v>11</v>
      </c>
      <c r="E941" s="13" t="s">
        <v>564</v>
      </c>
    </row>
    <row r="942" spans="1:5" ht="25.5" x14ac:dyDescent="0.2">
      <c r="A942" s="6" t="str">
        <f>HYPERLINK(SUBSTITUTE(T(hl_0),"{0}","442389452088677"),hn_0)</f>
        <v>ОВ</v>
      </c>
      <c r="B942" s="7">
        <v>22000</v>
      </c>
      <c r="C942" s="8" t="s">
        <v>57</v>
      </c>
      <c r="D942" s="8" t="s">
        <v>33</v>
      </c>
      <c r="E942" s="13" t="s">
        <v>58</v>
      </c>
    </row>
    <row r="943" spans="1:5" ht="25.5" x14ac:dyDescent="0.2">
      <c r="A943" s="6" t="str">
        <f>HYPERLINK(SUBSTITUTE(T(hl_0),"{0}","442388397228994"),hn_0)</f>
        <v>ОВ</v>
      </c>
      <c r="B943" s="7">
        <v>10036</v>
      </c>
      <c r="C943" s="8" t="s">
        <v>194</v>
      </c>
      <c r="D943" s="8" t="s">
        <v>11</v>
      </c>
      <c r="E943" s="13" t="s">
        <v>565</v>
      </c>
    </row>
    <row r="944" spans="1:5" ht="25.5" x14ac:dyDescent="0.2">
      <c r="A944" s="6" t="str">
        <f>HYPERLINK(SUBSTITUTE(T(hl_0),"{0}","442389800877166"),hn_0)</f>
        <v>ОВ</v>
      </c>
      <c r="B944" s="7">
        <v>9100</v>
      </c>
      <c r="C944" s="8" t="s">
        <v>76</v>
      </c>
      <c r="D944" s="8" t="s">
        <v>77</v>
      </c>
      <c r="E944" s="13" t="s">
        <v>78</v>
      </c>
    </row>
    <row r="945" spans="1:5" ht="25.5" x14ac:dyDescent="0.2">
      <c r="A945" s="6" t="str">
        <f>HYPERLINK(SUBSTITUTE(T(hl_0),"{0}","442395502991602"),hn_0)</f>
        <v>ОВ</v>
      </c>
      <c r="B945" s="7">
        <v>8800</v>
      </c>
      <c r="C945" s="8" t="s">
        <v>250</v>
      </c>
      <c r="D945" s="8" t="s">
        <v>11</v>
      </c>
      <c r="E945" s="13" t="s">
        <v>566</v>
      </c>
    </row>
    <row r="946" spans="1:5" ht="38.25" x14ac:dyDescent="0.2">
      <c r="A946" s="6" t="str">
        <f>HYPERLINK(SUBSTITUTE(T(hl_0),"{0}","442394286322995"),hn_0)</f>
        <v>ОВ</v>
      </c>
      <c r="B946" s="7">
        <v>12000</v>
      </c>
      <c r="C946" s="8" t="s">
        <v>145</v>
      </c>
      <c r="D946" s="8" t="s">
        <v>39</v>
      </c>
      <c r="E946" s="13" t="s">
        <v>555</v>
      </c>
    </row>
    <row r="947" spans="1:5" ht="25.5" x14ac:dyDescent="0.2">
      <c r="A947" s="6" t="str">
        <f>HYPERLINK(SUBSTITUTE(T(hl_0),"{0}","442393905061386"),hn_0)</f>
        <v>ОВ</v>
      </c>
      <c r="B947" s="7">
        <v>8667</v>
      </c>
      <c r="C947" s="8" t="s">
        <v>43</v>
      </c>
      <c r="D947" s="8" t="s">
        <v>11</v>
      </c>
      <c r="E947" s="13" t="s">
        <v>44</v>
      </c>
    </row>
    <row r="948" spans="1:5" ht="25.5" x14ac:dyDescent="0.2">
      <c r="A948" s="6" t="str">
        <f>HYPERLINK(SUBSTITUTE(T(hl_0),"{0}","442393905117616"),hn_0)</f>
        <v>ОВ</v>
      </c>
      <c r="B948" s="7">
        <v>14000</v>
      </c>
      <c r="C948" s="8" t="s">
        <v>45</v>
      </c>
      <c r="D948" s="8" t="s">
        <v>11</v>
      </c>
      <c r="E948" s="13" t="s">
        <v>46</v>
      </c>
    </row>
    <row r="949" spans="1:5" ht="25.5" x14ac:dyDescent="0.2">
      <c r="A949" s="6" t="str">
        <f>HYPERLINK(SUBSTITUTE(T(hl_0),"{0}","442394346009805"),hn_0)</f>
        <v>ОВ</v>
      </c>
      <c r="B949" s="7">
        <v>20000</v>
      </c>
      <c r="C949" s="8" t="s">
        <v>91</v>
      </c>
      <c r="D949" s="8" t="s">
        <v>19</v>
      </c>
      <c r="E949" s="13" t="s">
        <v>158</v>
      </c>
    </row>
    <row r="950" spans="1:5" ht="25.5" x14ac:dyDescent="0.2">
      <c r="A950" s="6" t="str">
        <f>HYPERLINK(SUBSTITUTE(T(hl_0),"{0}","442394286150714"),hn_0)</f>
        <v>ОВ</v>
      </c>
      <c r="B950" s="7">
        <v>12000</v>
      </c>
      <c r="C950" s="8" t="s">
        <v>137</v>
      </c>
      <c r="D950" s="8" t="s">
        <v>39</v>
      </c>
      <c r="E950" s="13" t="s">
        <v>329</v>
      </c>
    </row>
    <row r="951" spans="1:5" ht="25.5" x14ac:dyDescent="0.2">
      <c r="A951" s="6" t="str">
        <f>HYPERLINK(SUBSTITUTE(T(hl_0),"{0}","442390287883479"),hn_0)</f>
        <v>ОВ</v>
      </c>
      <c r="B951" s="7">
        <v>20000</v>
      </c>
      <c r="C951" s="8" t="s">
        <v>215</v>
      </c>
      <c r="D951" s="8" t="s">
        <v>11</v>
      </c>
      <c r="E951" s="13" t="s">
        <v>216</v>
      </c>
    </row>
    <row r="952" spans="1:5" ht="25.5" x14ac:dyDescent="0.2">
      <c r="A952" s="6" t="str">
        <f>HYPERLINK(SUBSTITUTE(T(hl_0),"{0}","442390383752984"),hn_0)</f>
        <v>ОВ</v>
      </c>
      <c r="B952" s="7">
        <v>25000</v>
      </c>
      <c r="C952" s="8" t="s">
        <v>102</v>
      </c>
      <c r="D952" s="8" t="s">
        <v>19</v>
      </c>
      <c r="E952" s="13" t="s">
        <v>198</v>
      </c>
    </row>
    <row r="953" spans="1:5" ht="25.5" x14ac:dyDescent="0.2">
      <c r="A953" s="6" t="str">
        <f>HYPERLINK(SUBSTITUTE(T(hl_0),"{0}","442391283283751"),hn_0)</f>
        <v>ОВ</v>
      </c>
      <c r="B953" s="7">
        <v>42050</v>
      </c>
      <c r="C953" s="8" t="s">
        <v>102</v>
      </c>
      <c r="D953" s="8" t="s">
        <v>11</v>
      </c>
      <c r="E953" s="13" t="s">
        <v>103</v>
      </c>
    </row>
    <row r="954" spans="1:5" ht="25.5" x14ac:dyDescent="0.2">
      <c r="A954" s="6" t="str">
        <f>HYPERLINK(SUBSTITUTE(T(hl_0),"{0}","442391470338374"),hn_0)</f>
        <v>ОВ</v>
      </c>
      <c r="B954" s="7">
        <v>22000</v>
      </c>
      <c r="C954" s="8" t="s">
        <v>51</v>
      </c>
      <c r="D954" s="8" t="s">
        <v>19</v>
      </c>
      <c r="E954" s="13" t="s">
        <v>82</v>
      </c>
    </row>
    <row r="955" spans="1:5" ht="25.5" x14ac:dyDescent="0.2">
      <c r="A955" s="6" t="str">
        <f>HYPERLINK(SUBSTITUTE(T(hl_0),"{0}","442392544245386"),hn_0)</f>
        <v>ОВ</v>
      </c>
      <c r="B955" s="7">
        <v>17000</v>
      </c>
      <c r="C955" s="8" t="s">
        <v>164</v>
      </c>
      <c r="D955" s="8" t="s">
        <v>16</v>
      </c>
      <c r="E955" s="13" t="s">
        <v>449</v>
      </c>
    </row>
    <row r="956" spans="1:5" ht="25.5" x14ac:dyDescent="0.2">
      <c r="A956" s="6" t="str">
        <f>HYPERLINK(SUBSTITUTE(T(hl_0),"{0}","442391283502022"),hn_0)</f>
        <v>ОВ</v>
      </c>
      <c r="B956" s="7">
        <v>29060</v>
      </c>
      <c r="C956" s="8" t="s">
        <v>51</v>
      </c>
      <c r="D956" s="8" t="s">
        <v>11</v>
      </c>
      <c r="E956" s="13" t="s">
        <v>52</v>
      </c>
    </row>
    <row r="957" spans="1:5" ht="25.5" x14ac:dyDescent="0.2">
      <c r="A957" s="6" t="str">
        <f>HYPERLINK(SUBSTITUTE(T(hl_0),"{0}","442391718701460"),hn_0)</f>
        <v>ОВ</v>
      </c>
      <c r="B957" s="7">
        <v>8800</v>
      </c>
      <c r="C957" s="8" t="s">
        <v>227</v>
      </c>
      <c r="D957" s="8" t="s">
        <v>11</v>
      </c>
      <c r="E957" s="13" t="s">
        <v>387</v>
      </c>
    </row>
    <row r="958" spans="1:5" ht="25.5" x14ac:dyDescent="0.2">
      <c r="A958" s="6" t="str">
        <f>HYPERLINK(SUBSTITUTE(T(hl_0),"{0}","442391470339304"),hn_0)</f>
        <v>ОВ</v>
      </c>
      <c r="B958" s="7">
        <v>22000</v>
      </c>
      <c r="C958" s="8" t="s">
        <v>51</v>
      </c>
      <c r="D958" s="8" t="s">
        <v>19</v>
      </c>
      <c r="E958" s="13" t="s">
        <v>82</v>
      </c>
    </row>
    <row r="959" spans="1:5" ht="25.5" x14ac:dyDescent="0.2">
      <c r="A959" s="6" t="str">
        <f>HYPERLINK(SUBSTITUTE(T(hl_0),"{0}","442391283501015"),hn_0)</f>
        <v>ОВ</v>
      </c>
      <c r="B959" s="7">
        <v>29060</v>
      </c>
      <c r="C959" s="8" t="s">
        <v>51</v>
      </c>
      <c r="D959" s="8" t="s">
        <v>11</v>
      </c>
      <c r="E959" s="13" t="s">
        <v>52</v>
      </c>
    </row>
    <row r="960" spans="1:5" ht="25.5" x14ac:dyDescent="0.2">
      <c r="A960" s="6" t="str">
        <f>HYPERLINK(SUBSTITUTE(T(hl_0),"{0}","442391142188277"),hn_0)</f>
        <v>ОВ</v>
      </c>
      <c r="B960" s="7">
        <v>18000</v>
      </c>
      <c r="C960" s="8" t="s">
        <v>21</v>
      </c>
      <c r="D960" s="8" t="s">
        <v>11</v>
      </c>
      <c r="E960" s="13" t="s">
        <v>22</v>
      </c>
    </row>
    <row r="961" spans="1:5" ht="25.5" x14ac:dyDescent="0.2">
      <c r="A961" s="6" t="str">
        <f>HYPERLINK(SUBSTITUTE(T(hl_0),"{0}","442392721628584"),hn_0)</f>
        <v>ОВ</v>
      </c>
      <c r="B961" s="7">
        <v>14700</v>
      </c>
      <c r="C961" s="8" t="s">
        <v>10</v>
      </c>
      <c r="D961" s="8" t="s">
        <v>39</v>
      </c>
      <c r="E961" s="13" t="s">
        <v>94</v>
      </c>
    </row>
    <row r="962" spans="1:5" ht="38.25" x14ac:dyDescent="0.2">
      <c r="A962" s="6" t="str">
        <f>HYPERLINK(SUBSTITUTE(T(hl_0),"{0}","442388541433987"),hn_0)</f>
        <v>ОВ</v>
      </c>
      <c r="B962" s="7">
        <v>15991.92</v>
      </c>
      <c r="C962" s="8" t="s">
        <v>51</v>
      </c>
      <c r="D962" s="8" t="s">
        <v>25</v>
      </c>
      <c r="E962" s="13" t="s">
        <v>56</v>
      </c>
    </row>
    <row r="963" spans="1:5" ht="38.25" x14ac:dyDescent="0.2">
      <c r="A963" s="6" t="str">
        <f>HYPERLINK(SUBSTITUTE(T(hl_0),"{0}","442388655989098"),hn_0)</f>
        <v>ОВ</v>
      </c>
      <c r="B963" s="7">
        <v>20000</v>
      </c>
      <c r="C963" s="8" t="s">
        <v>342</v>
      </c>
      <c r="D963" s="8" t="s">
        <v>11</v>
      </c>
      <c r="E963" s="13" t="s">
        <v>343</v>
      </c>
    </row>
    <row r="964" spans="1:5" ht="25.5" x14ac:dyDescent="0.2">
      <c r="A964" s="6" t="str">
        <f>HYPERLINK(SUBSTITUTE(T(hl_0),"{0}","442389663872805"),hn_0)</f>
        <v>ОВ</v>
      </c>
      <c r="B964" s="7">
        <v>13900</v>
      </c>
      <c r="C964" s="8" t="s">
        <v>51</v>
      </c>
      <c r="D964" s="8" t="s">
        <v>11</v>
      </c>
      <c r="E964" s="13" t="s">
        <v>159</v>
      </c>
    </row>
    <row r="965" spans="1:5" ht="25.5" x14ac:dyDescent="0.2">
      <c r="A965" s="6" t="str">
        <f>HYPERLINK(SUBSTITUTE(T(hl_0),"{0}","442389664817045"),hn_0)</f>
        <v>ОВ</v>
      </c>
      <c r="B965" s="7">
        <v>22000</v>
      </c>
      <c r="C965" s="8" t="s">
        <v>51</v>
      </c>
      <c r="D965" s="8" t="s">
        <v>19</v>
      </c>
      <c r="E965" s="13" t="s">
        <v>82</v>
      </c>
    </row>
    <row r="966" spans="1:5" ht="25.5" x14ac:dyDescent="0.2">
      <c r="A966" s="6" t="str">
        <f>HYPERLINK(SUBSTITUTE(T(hl_0),"{0}","442389800876205"),hn_0)</f>
        <v>ОВ</v>
      </c>
      <c r="B966" s="7">
        <v>9100</v>
      </c>
      <c r="C966" s="8" t="s">
        <v>76</v>
      </c>
      <c r="D966" s="8" t="s">
        <v>77</v>
      </c>
      <c r="E966" s="13" t="s">
        <v>78</v>
      </c>
    </row>
    <row r="967" spans="1:5" ht="38.25" x14ac:dyDescent="0.2">
      <c r="A967" s="6" t="str">
        <f>HYPERLINK(SUBSTITUTE(T(hl_0),"{0}","442384894055139"),hn_0)</f>
        <v>ОВ</v>
      </c>
      <c r="B967" s="7">
        <v>24600</v>
      </c>
      <c r="C967" s="8" t="s">
        <v>327</v>
      </c>
      <c r="D967" s="8" t="s">
        <v>11</v>
      </c>
      <c r="E967" s="13" t="s">
        <v>328</v>
      </c>
    </row>
    <row r="968" spans="1:5" ht="38.25" x14ac:dyDescent="0.2">
      <c r="A968" s="6" t="str">
        <f>HYPERLINK(SUBSTITUTE(T(hl_0),"{0}","442384081889262"),hn_0)</f>
        <v>ОВ</v>
      </c>
      <c r="B968" s="7">
        <v>9000</v>
      </c>
      <c r="C968" s="8" t="s">
        <v>567</v>
      </c>
      <c r="D968" s="8" t="s">
        <v>11</v>
      </c>
      <c r="E968" s="13" t="s">
        <v>568</v>
      </c>
    </row>
    <row r="969" spans="1:5" ht="25.5" x14ac:dyDescent="0.2">
      <c r="A969" s="6" t="str">
        <f>HYPERLINK(SUBSTITUTE(T(hl_0),"{0}","442385111122034"),hn_0)</f>
        <v>ОВ</v>
      </c>
      <c r="B969" s="7">
        <v>9000</v>
      </c>
      <c r="C969" s="8" t="s">
        <v>38</v>
      </c>
      <c r="D969" s="8" t="s">
        <v>39</v>
      </c>
      <c r="E969" s="13" t="s">
        <v>40</v>
      </c>
    </row>
    <row r="970" spans="1:5" ht="25.5" x14ac:dyDescent="0.2">
      <c r="A970" s="6" t="str">
        <f>HYPERLINK(SUBSTITUTE(T(hl_0),"{0}","442395502882215"),hn_0)</f>
        <v>ОВ</v>
      </c>
      <c r="B970" s="7">
        <v>9500</v>
      </c>
      <c r="C970" s="8" t="s">
        <v>416</v>
      </c>
      <c r="D970" s="8" t="s">
        <v>11</v>
      </c>
      <c r="E970" s="13" t="s">
        <v>417</v>
      </c>
    </row>
    <row r="971" spans="1:5" ht="38.25" x14ac:dyDescent="0.2">
      <c r="A971" s="6" t="str">
        <f>HYPERLINK(SUBSTITUTE(T(hl_0),"{0}","442393371166717"),hn_0)</f>
        <v>ОВ</v>
      </c>
      <c r="B971" s="7">
        <v>11000</v>
      </c>
      <c r="C971" s="8" t="s">
        <v>116</v>
      </c>
      <c r="D971" s="8" t="s">
        <v>11</v>
      </c>
      <c r="E971" s="13" t="s">
        <v>197</v>
      </c>
    </row>
    <row r="972" spans="1:5" ht="38.25" x14ac:dyDescent="0.2">
      <c r="A972" s="6" t="str">
        <f>HYPERLINK(SUBSTITUTE(T(hl_0),"{0}","442393371165752"),hn_0)</f>
        <v>ОВ</v>
      </c>
      <c r="B972" s="7">
        <v>11000</v>
      </c>
      <c r="C972" s="8" t="s">
        <v>116</v>
      </c>
      <c r="D972" s="8" t="s">
        <v>11</v>
      </c>
      <c r="E972" s="13" t="s">
        <v>197</v>
      </c>
    </row>
    <row r="973" spans="1:5" ht="25.5" x14ac:dyDescent="0.2">
      <c r="A973" s="6" t="str">
        <f>HYPERLINK(SUBSTITUTE(T(hl_0),"{0}","442393905109445"),hn_0)</f>
        <v>ОВ</v>
      </c>
      <c r="B973" s="7">
        <v>14000</v>
      </c>
      <c r="C973" s="8" t="s">
        <v>141</v>
      </c>
      <c r="D973" s="8" t="s">
        <v>11</v>
      </c>
      <c r="E973" s="13" t="s">
        <v>142</v>
      </c>
    </row>
    <row r="974" spans="1:5" ht="25.5" x14ac:dyDescent="0.2">
      <c r="A974" s="6" t="str">
        <f>HYPERLINK(SUBSTITUTE(T(hl_0),"{0}","442393905061407"),hn_0)</f>
        <v>ОВ</v>
      </c>
      <c r="B974" s="7">
        <v>8667</v>
      </c>
      <c r="C974" s="8" t="s">
        <v>43</v>
      </c>
      <c r="D974" s="8" t="s">
        <v>11</v>
      </c>
      <c r="E974" s="13" t="s">
        <v>44</v>
      </c>
    </row>
    <row r="975" spans="1:5" ht="25.5" x14ac:dyDescent="0.2">
      <c r="A975" s="6" t="str">
        <f>HYPERLINK(SUBSTITUTE(T(hl_0),"{0}","442393905109615"),hn_0)</f>
        <v>ОВ</v>
      </c>
      <c r="B975" s="7">
        <v>14000</v>
      </c>
      <c r="C975" s="8" t="s">
        <v>141</v>
      </c>
      <c r="D975" s="8" t="s">
        <v>11</v>
      </c>
      <c r="E975" s="13" t="s">
        <v>142</v>
      </c>
    </row>
    <row r="976" spans="1:5" ht="25.5" x14ac:dyDescent="0.2">
      <c r="A976" s="6" t="str">
        <f>HYPERLINK(SUBSTITUTE(T(hl_0),"{0}","442391284015515"),hn_0)</f>
        <v>ОВ</v>
      </c>
      <c r="B976" s="7">
        <v>23845</v>
      </c>
      <c r="C976" s="8" t="s">
        <v>91</v>
      </c>
      <c r="D976" s="8" t="s">
        <v>11</v>
      </c>
      <c r="E976" s="13" t="s">
        <v>92</v>
      </c>
    </row>
    <row r="977" spans="1:5" ht="25.5" x14ac:dyDescent="0.2">
      <c r="A977" s="6" t="str">
        <f>HYPERLINK(SUBSTITUTE(T(hl_0),"{0}","442391283350760"),hn_0)</f>
        <v>ОВ</v>
      </c>
      <c r="B977" s="7">
        <v>39940</v>
      </c>
      <c r="C977" s="8" t="s">
        <v>13</v>
      </c>
      <c r="D977" s="8" t="s">
        <v>11</v>
      </c>
      <c r="E977" s="13" t="s">
        <v>14</v>
      </c>
    </row>
    <row r="978" spans="1:5" ht="25.5" x14ac:dyDescent="0.2">
      <c r="A978" s="6" t="str">
        <f>HYPERLINK(SUBSTITUTE(T(hl_0),"{0}","442392544632280"),hn_0)</f>
        <v>ОВ</v>
      </c>
      <c r="B978" s="7">
        <v>8900</v>
      </c>
      <c r="C978" s="8" t="s">
        <v>76</v>
      </c>
      <c r="D978" s="8" t="s">
        <v>11</v>
      </c>
      <c r="E978" s="13" t="s">
        <v>147</v>
      </c>
    </row>
    <row r="979" spans="1:5" ht="25.5" x14ac:dyDescent="0.2">
      <c r="A979" s="6" t="str">
        <f>HYPERLINK(SUBSTITUTE(T(hl_0),"{0}","442391283306195"),hn_0)</f>
        <v>ОВ</v>
      </c>
      <c r="B979" s="7">
        <v>39940</v>
      </c>
      <c r="C979" s="8" t="s">
        <v>13</v>
      </c>
      <c r="D979" s="8" t="s">
        <v>11</v>
      </c>
      <c r="E979" s="13" t="s">
        <v>14</v>
      </c>
    </row>
    <row r="980" spans="1:5" ht="25.5" x14ac:dyDescent="0.2">
      <c r="A980" s="6" t="str">
        <f>HYPERLINK(SUBSTITUTE(T(hl_0),"{0}","442392406626714"),hn_0)</f>
        <v>ОВ</v>
      </c>
      <c r="B980" s="7">
        <v>10000</v>
      </c>
      <c r="C980" s="8" t="s">
        <v>569</v>
      </c>
      <c r="D980" s="8" t="s">
        <v>77</v>
      </c>
      <c r="E980" s="13" t="s">
        <v>570</v>
      </c>
    </row>
    <row r="981" spans="1:5" ht="25.5" x14ac:dyDescent="0.2">
      <c r="A981" s="6" t="str">
        <f>HYPERLINK(SUBSTITUTE(T(hl_0),"{0}","442391283320018"),hn_0)</f>
        <v>ОВ</v>
      </c>
      <c r="B981" s="7">
        <v>39940</v>
      </c>
      <c r="C981" s="8" t="s">
        <v>13</v>
      </c>
      <c r="D981" s="8" t="s">
        <v>11</v>
      </c>
      <c r="E981" s="13" t="s">
        <v>14</v>
      </c>
    </row>
    <row r="982" spans="1:5" ht="25.5" x14ac:dyDescent="0.2">
      <c r="A982" s="6" t="str">
        <f>HYPERLINK(SUBSTITUTE(T(hl_0),"{0}","442391470338484"),hn_0)</f>
        <v>ОВ</v>
      </c>
      <c r="B982" s="7">
        <v>22000</v>
      </c>
      <c r="C982" s="8" t="s">
        <v>51</v>
      </c>
      <c r="D982" s="8" t="s">
        <v>19</v>
      </c>
      <c r="E982" s="13" t="s">
        <v>82</v>
      </c>
    </row>
    <row r="983" spans="1:5" ht="25.5" x14ac:dyDescent="0.2">
      <c r="A983" s="6" t="str">
        <f>HYPERLINK(SUBSTITUTE(T(hl_0),"{0}","442388541478682"),hn_0)</f>
        <v>ОВ</v>
      </c>
      <c r="B983" s="7">
        <v>19578</v>
      </c>
      <c r="C983" s="8" t="s">
        <v>286</v>
      </c>
      <c r="D983" s="8" t="s">
        <v>25</v>
      </c>
      <c r="E983" s="13" t="s">
        <v>287</v>
      </c>
    </row>
    <row r="984" spans="1:5" ht="25.5" x14ac:dyDescent="0.2">
      <c r="A984" s="6" t="str">
        <f>HYPERLINK(SUBSTITUTE(T(hl_0),"{0}","442389663674834"),hn_0)</f>
        <v>ОВ</v>
      </c>
      <c r="B984" s="7">
        <v>13900</v>
      </c>
      <c r="C984" s="8" t="s">
        <v>51</v>
      </c>
      <c r="D984" s="8" t="s">
        <v>11</v>
      </c>
      <c r="E984" s="13" t="s">
        <v>159</v>
      </c>
    </row>
    <row r="985" spans="1:5" ht="25.5" x14ac:dyDescent="0.2">
      <c r="A985" s="6" t="str">
        <f>HYPERLINK(SUBSTITUTE(T(hl_0),"{0}","442387856219885"),hn_0)</f>
        <v>ОВ</v>
      </c>
      <c r="B985" s="7">
        <v>27000</v>
      </c>
      <c r="C985" s="8" t="s">
        <v>213</v>
      </c>
      <c r="D985" s="8" t="s">
        <v>85</v>
      </c>
      <c r="E985" s="13" t="s">
        <v>502</v>
      </c>
    </row>
    <row r="986" spans="1:5" ht="25.5" x14ac:dyDescent="0.2">
      <c r="A986" s="6" t="str">
        <f>HYPERLINK(SUBSTITUTE(T(hl_0),"{0}","442389665589901"),hn_0)</f>
        <v>ОВ</v>
      </c>
      <c r="B986" s="7">
        <v>22000</v>
      </c>
      <c r="C986" s="8" t="s">
        <v>51</v>
      </c>
      <c r="D986" s="8" t="s">
        <v>19</v>
      </c>
      <c r="E986" s="13" t="s">
        <v>82</v>
      </c>
    </row>
    <row r="987" spans="1:5" ht="38.25" x14ac:dyDescent="0.2">
      <c r="A987" s="6" t="str">
        <f>HYPERLINK(SUBSTITUTE(T(hl_0),"{0}","442388541433220"),hn_0)</f>
        <v>ОВ</v>
      </c>
      <c r="B987" s="7">
        <v>15991.92</v>
      </c>
      <c r="C987" s="8" t="s">
        <v>18</v>
      </c>
      <c r="D987" s="8" t="s">
        <v>25</v>
      </c>
      <c r="E987" s="13" t="s">
        <v>35</v>
      </c>
    </row>
    <row r="988" spans="1:5" ht="25.5" x14ac:dyDescent="0.2">
      <c r="A988" s="6" t="str">
        <f>HYPERLINK(SUBSTITUTE(T(hl_0),"{0}","442383159147010"),hn_0)</f>
        <v>ОВ</v>
      </c>
      <c r="B988" s="7">
        <v>8800</v>
      </c>
      <c r="C988" s="8" t="s">
        <v>76</v>
      </c>
      <c r="D988" s="8" t="s">
        <v>11</v>
      </c>
      <c r="E988" s="13" t="s">
        <v>571</v>
      </c>
    </row>
    <row r="989" spans="1:5" ht="25.5" x14ac:dyDescent="0.2">
      <c r="A989" s="6" t="str">
        <f>HYPERLINK(SUBSTITUTE(T(hl_0),"{0}","442393905090673"),hn_0)</f>
        <v>ОВ</v>
      </c>
      <c r="B989" s="7">
        <v>14000</v>
      </c>
      <c r="C989" s="8" t="s">
        <v>194</v>
      </c>
      <c r="D989" s="8" t="s">
        <v>11</v>
      </c>
      <c r="E989" s="13" t="s">
        <v>419</v>
      </c>
    </row>
    <row r="990" spans="1:5" ht="25.5" x14ac:dyDescent="0.2">
      <c r="A990" s="6" t="str">
        <f>HYPERLINK(SUBSTITUTE(T(hl_0),"{0}","442394504825959"),hn_0)</f>
        <v>ОВ</v>
      </c>
      <c r="B990" s="7">
        <v>14500</v>
      </c>
      <c r="C990" s="8" t="s">
        <v>294</v>
      </c>
      <c r="D990" s="8" t="s">
        <v>11</v>
      </c>
      <c r="E990" s="13" t="s">
        <v>572</v>
      </c>
    </row>
    <row r="991" spans="1:5" ht="25.5" x14ac:dyDescent="0.2">
      <c r="A991" s="6" t="str">
        <f>HYPERLINK(SUBSTITUTE(T(hl_0),"{0}","442393905068014"),hn_0)</f>
        <v>ОВ</v>
      </c>
      <c r="B991" s="7">
        <v>14000</v>
      </c>
      <c r="C991" s="8" t="s">
        <v>250</v>
      </c>
      <c r="D991" s="8" t="s">
        <v>11</v>
      </c>
      <c r="E991" s="13" t="s">
        <v>251</v>
      </c>
    </row>
    <row r="992" spans="1:5" ht="25.5" x14ac:dyDescent="0.2">
      <c r="A992" s="6" t="str">
        <f>HYPERLINK(SUBSTITUTE(T(hl_0),"{0}","442394346012026"),hn_0)</f>
        <v>ОВ</v>
      </c>
      <c r="B992" s="7">
        <v>20000</v>
      </c>
      <c r="C992" s="8" t="s">
        <v>91</v>
      </c>
      <c r="D992" s="8" t="s">
        <v>19</v>
      </c>
      <c r="E992" s="13" t="s">
        <v>158</v>
      </c>
    </row>
    <row r="993" spans="1:5" ht="25.5" x14ac:dyDescent="0.2">
      <c r="A993" s="6" t="str">
        <f>HYPERLINK(SUBSTITUTE(T(hl_0),"{0}","442393529307880"),hn_0)</f>
        <v>ОВ</v>
      </c>
      <c r="B993" s="7">
        <v>8000</v>
      </c>
      <c r="C993" s="8" t="s">
        <v>573</v>
      </c>
      <c r="D993" s="8" t="s">
        <v>33</v>
      </c>
      <c r="E993" s="13" t="s">
        <v>574</v>
      </c>
    </row>
    <row r="994" spans="1:5" ht="25.5" x14ac:dyDescent="0.2">
      <c r="A994" s="6" t="str">
        <f>HYPERLINK(SUBSTITUTE(T(hl_0),"{0}","442391470338692"),hn_0)</f>
        <v>ОВ</v>
      </c>
      <c r="B994" s="7">
        <v>22000</v>
      </c>
      <c r="C994" s="8" t="s">
        <v>51</v>
      </c>
      <c r="D994" s="8" t="s">
        <v>19</v>
      </c>
      <c r="E994" s="13" t="s">
        <v>82</v>
      </c>
    </row>
    <row r="995" spans="1:5" ht="25.5" x14ac:dyDescent="0.2">
      <c r="A995" s="6" t="str">
        <f>HYPERLINK(SUBSTITUTE(T(hl_0),"{0}","442391282709150"),hn_0)</f>
        <v>ОВ</v>
      </c>
      <c r="B995" s="7">
        <v>16400</v>
      </c>
      <c r="C995" s="8" t="s">
        <v>303</v>
      </c>
      <c r="D995" s="8" t="s">
        <v>39</v>
      </c>
      <c r="E995" s="13" t="s">
        <v>304</v>
      </c>
    </row>
    <row r="996" spans="1:5" ht="25.5" x14ac:dyDescent="0.2">
      <c r="A996" s="6" t="str">
        <f>HYPERLINK(SUBSTITUTE(T(hl_0),"{0}","442391283501149"),hn_0)</f>
        <v>ОВ</v>
      </c>
      <c r="B996" s="7">
        <v>29060</v>
      </c>
      <c r="C996" s="8" t="s">
        <v>51</v>
      </c>
      <c r="D996" s="8" t="s">
        <v>11</v>
      </c>
      <c r="E996" s="13" t="s">
        <v>52</v>
      </c>
    </row>
    <row r="997" spans="1:5" ht="25.5" x14ac:dyDescent="0.2">
      <c r="A997" s="6" t="str">
        <f>HYPERLINK(SUBSTITUTE(T(hl_0),"{0}","442390378321233"),hn_0)</f>
        <v>ОВ</v>
      </c>
      <c r="B997" s="7">
        <v>13000</v>
      </c>
      <c r="C997" s="8" t="s">
        <v>145</v>
      </c>
      <c r="D997" s="8" t="s">
        <v>11</v>
      </c>
      <c r="E997" s="13" t="s">
        <v>575</v>
      </c>
    </row>
    <row r="998" spans="1:5" ht="25.5" x14ac:dyDescent="0.2">
      <c r="A998" s="6" t="str">
        <f>HYPERLINK(SUBSTITUTE(T(hl_0),"{0}","442391284015050"),hn_0)</f>
        <v>ОВ</v>
      </c>
      <c r="B998" s="7">
        <v>23845</v>
      </c>
      <c r="C998" s="8" t="s">
        <v>91</v>
      </c>
      <c r="D998" s="8" t="s">
        <v>11</v>
      </c>
      <c r="E998" s="13" t="s">
        <v>92</v>
      </c>
    </row>
    <row r="999" spans="1:5" ht="25.5" x14ac:dyDescent="0.2">
      <c r="A999" s="6" t="str">
        <f>HYPERLINK(SUBSTITUTE(T(hl_0),"{0}","442391284075871"),hn_0)</f>
        <v>ОВ</v>
      </c>
      <c r="B999" s="7">
        <v>23845</v>
      </c>
      <c r="C999" s="8" t="s">
        <v>23</v>
      </c>
      <c r="D999" s="8" t="s">
        <v>11</v>
      </c>
      <c r="E999" s="13" t="s">
        <v>24</v>
      </c>
    </row>
    <row r="1000" spans="1:5" ht="25.5" x14ac:dyDescent="0.2">
      <c r="A1000" s="6" t="str">
        <f>HYPERLINK(SUBSTITUTE(T(hl_0),"{0}","442391283499501"),hn_0)</f>
        <v>ОВ</v>
      </c>
      <c r="B1000" s="7">
        <v>29060</v>
      </c>
      <c r="C1000" s="8" t="s">
        <v>51</v>
      </c>
      <c r="D1000" s="8" t="s">
        <v>11</v>
      </c>
      <c r="E1000" s="13" t="s">
        <v>52</v>
      </c>
    </row>
    <row r="1001" spans="1:5" ht="25.5" x14ac:dyDescent="0.2">
      <c r="A1001" s="6" t="str">
        <f>HYPERLINK(SUBSTITUTE(T(hl_0),"{0}","442391283500582"),hn_0)</f>
        <v>ОВ</v>
      </c>
      <c r="B1001" s="7">
        <v>29060</v>
      </c>
      <c r="C1001" s="8" t="s">
        <v>51</v>
      </c>
      <c r="D1001" s="8" t="s">
        <v>11</v>
      </c>
      <c r="E1001" s="13" t="s">
        <v>52</v>
      </c>
    </row>
    <row r="1002" spans="1:5" ht="25.5" x14ac:dyDescent="0.2">
      <c r="A1002" s="6" t="str">
        <f>HYPERLINK(SUBSTITUTE(T(hl_0),"{0}","442391283502175"),hn_0)</f>
        <v>ОВ</v>
      </c>
      <c r="B1002" s="7">
        <v>29060</v>
      </c>
      <c r="C1002" s="8" t="s">
        <v>51</v>
      </c>
      <c r="D1002" s="8" t="s">
        <v>11</v>
      </c>
      <c r="E1002" s="13" t="s">
        <v>52</v>
      </c>
    </row>
    <row r="1003" spans="1:5" ht="25.5" x14ac:dyDescent="0.2">
      <c r="A1003" s="6" t="str">
        <f>HYPERLINK(SUBSTITUTE(T(hl_0),"{0}","442392720462858"),hn_0)</f>
        <v>ОВ</v>
      </c>
      <c r="B1003" s="7">
        <v>16400</v>
      </c>
      <c r="C1003" s="8" t="s">
        <v>97</v>
      </c>
      <c r="D1003" s="8" t="s">
        <v>39</v>
      </c>
      <c r="E1003" s="13" t="s">
        <v>98</v>
      </c>
    </row>
    <row r="1004" spans="1:5" ht="25.5" x14ac:dyDescent="0.2">
      <c r="A1004" s="6" t="str">
        <f>HYPERLINK(SUBSTITUTE(T(hl_0),"{0}","442391284077448"),hn_0)</f>
        <v>ОВ</v>
      </c>
      <c r="B1004" s="7">
        <v>23845</v>
      </c>
      <c r="C1004" s="8" t="s">
        <v>23</v>
      </c>
      <c r="D1004" s="8" t="s">
        <v>11</v>
      </c>
      <c r="E1004" s="13" t="s">
        <v>24</v>
      </c>
    </row>
    <row r="1005" spans="1:5" ht="25.5" x14ac:dyDescent="0.2">
      <c r="A1005" s="6" t="str">
        <f>HYPERLINK(SUBSTITUTE(T(hl_0),"{0}","442391283308172"),hn_0)</f>
        <v>ОВ</v>
      </c>
      <c r="B1005" s="7">
        <v>39940</v>
      </c>
      <c r="C1005" s="8" t="s">
        <v>13</v>
      </c>
      <c r="D1005" s="8" t="s">
        <v>11</v>
      </c>
      <c r="E1005" s="13" t="s">
        <v>14</v>
      </c>
    </row>
    <row r="1006" spans="1:5" ht="25.5" x14ac:dyDescent="0.2">
      <c r="A1006" s="6" t="str">
        <f>HYPERLINK(SUBSTITUTE(T(hl_0),"{0}","442388539444200"),hn_0)</f>
        <v>ОВ</v>
      </c>
      <c r="B1006" s="7">
        <v>11000</v>
      </c>
      <c r="C1006" s="8" t="s">
        <v>576</v>
      </c>
      <c r="D1006" s="8" t="s">
        <v>77</v>
      </c>
      <c r="E1006" s="13" t="s">
        <v>577</v>
      </c>
    </row>
    <row r="1007" spans="1:5" ht="25.5" x14ac:dyDescent="0.2">
      <c r="A1007" s="6" t="str">
        <f>HYPERLINK(SUBSTITUTE(T(hl_0),"{0}","442388541478881"),hn_0)</f>
        <v>ОВ</v>
      </c>
      <c r="B1007" s="7">
        <v>19578</v>
      </c>
      <c r="C1007" s="8" t="s">
        <v>286</v>
      </c>
      <c r="D1007" s="8" t="s">
        <v>25</v>
      </c>
      <c r="E1007" s="13" t="s">
        <v>287</v>
      </c>
    </row>
    <row r="1008" spans="1:5" ht="38.25" x14ac:dyDescent="0.2">
      <c r="A1008" s="6" t="str">
        <f>HYPERLINK(SUBSTITUTE(T(hl_0),"{0}","442388655745623"),hn_0)</f>
        <v>ОВ</v>
      </c>
      <c r="B1008" s="7">
        <v>20000</v>
      </c>
      <c r="C1008" s="8" t="s">
        <v>578</v>
      </c>
      <c r="D1008" s="8" t="s">
        <v>11</v>
      </c>
      <c r="E1008" s="13" t="s">
        <v>579</v>
      </c>
    </row>
    <row r="1009" spans="1:5" ht="38.25" x14ac:dyDescent="0.2">
      <c r="A1009" s="6" t="str">
        <f>HYPERLINK(SUBSTITUTE(T(hl_0),"{0}","442388655989065"),hn_0)</f>
        <v>ОВ</v>
      </c>
      <c r="B1009" s="7">
        <v>20000</v>
      </c>
      <c r="C1009" s="8" t="s">
        <v>342</v>
      </c>
      <c r="D1009" s="8" t="s">
        <v>11</v>
      </c>
      <c r="E1009" s="13" t="s">
        <v>343</v>
      </c>
    </row>
    <row r="1010" spans="1:5" ht="38.25" x14ac:dyDescent="0.2">
      <c r="A1010" s="6" t="str">
        <f>HYPERLINK(SUBSTITUTE(T(hl_0),"{0}","442388541433441"),hn_0)</f>
        <v>ОВ</v>
      </c>
      <c r="B1010" s="7">
        <v>15991.92</v>
      </c>
      <c r="C1010" s="8" t="s">
        <v>18</v>
      </c>
      <c r="D1010" s="8" t="s">
        <v>25</v>
      </c>
      <c r="E1010" s="13" t="s">
        <v>35</v>
      </c>
    </row>
    <row r="1011" spans="1:5" ht="25.5" x14ac:dyDescent="0.2">
      <c r="A1011" s="6" t="str">
        <f>HYPERLINK(SUBSTITUTE(T(hl_0),"{0}","442390243218625"),hn_0)</f>
        <v>ОВ</v>
      </c>
      <c r="B1011" s="7">
        <v>10000</v>
      </c>
      <c r="C1011" s="8" t="s">
        <v>135</v>
      </c>
      <c r="D1011" s="8" t="s">
        <v>138</v>
      </c>
      <c r="E1011" s="13" t="s">
        <v>580</v>
      </c>
    </row>
    <row r="1012" spans="1:5" ht="25.5" x14ac:dyDescent="0.2">
      <c r="A1012" s="6" t="str">
        <f>HYPERLINK(SUBSTITUTE(T(hl_0),"{0}","442386197349974"),hn_0)</f>
        <v>ОВ</v>
      </c>
      <c r="B1012" s="7">
        <v>11860.01</v>
      </c>
      <c r="C1012" s="8" t="s">
        <v>95</v>
      </c>
      <c r="D1012" s="8" t="s">
        <v>11</v>
      </c>
      <c r="E1012" s="13" t="s">
        <v>305</v>
      </c>
    </row>
    <row r="1013" spans="1:5" ht="25.5" x14ac:dyDescent="0.2">
      <c r="A1013" s="6" t="str">
        <f>HYPERLINK(SUBSTITUTE(T(hl_0),"{0}","442395069343803"),hn_0)</f>
        <v>ОВ</v>
      </c>
      <c r="B1013" s="7">
        <v>8000</v>
      </c>
      <c r="C1013" s="8" t="s">
        <v>581</v>
      </c>
      <c r="D1013" s="8" t="s">
        <v>11</v>
      </c>
      <c r="E1013" s="13" t="s">
        <v>582</v>
      </c>
    </row>
    <row r="1014" spans="1:5" ht="25.5" x14ac:dyDescent="0.2">
      <c r="A1014" s="6" t="str">
        <f>HYPERLINK(SUBSTITUTE(T(hl_0),"{0}","442394080224413"),hn_0)</f>
        <v>ОВ</v>
      </c>
      <c r="B1014" s="7">
        <v>13478</v>
      </c>
      <c r="C1014" s="8" t="s">
        <v>76</v>
      </c>
      <c r="D1014" s="8" t="s">
        <v>77</v>
      </c>
      <c r="E1014" s="13" t="s">
        <v>583</v>
      </c>
    </row>
    <row r="1015" spans="1:5" ht="25.5" x14ac:dyDescent="0.2">
      <c r="A1015" s="6" t="str">
        <f>HYPERLINK(SUBSTITUTE(T(hl_0),"{0}","442395128764114"),hn_0)</f>
        <v>ОВ</v>
      </c>
      <c r="B1015" s="7">
        <v>17000</v>
      </c>
      <c r="C1015" s="8" t="s">
        <v>462</v>
      </c>
      <c r="D1015" s="8" t="s">
        <v>321</v>
      </c>
      <c r="E1015" s="13" t="s">
        <v>584</v>
      </c>
    </row>
    <row r="1016" spans="1:5" ht="25.5" x14ac:dyDescent="0.2">
      <c r="A1016" s="6" t="str">
        <f>HYPERLINK(SUBSTITUTE(T(hl_0),"{0}","442394286149911"),hn_0)</f>
        <v>ОВ</v>
      </c>
      <c r="B1016" s="7">
        <v>12000</v>
      </c>
      <c r="C1016" s="8" t="s">
        <v>137</v>
      </c>
      <c r="D1016" s="8" t="s">
        <v>39</v>
      </c>
      <c r="E1016" s="13" t="s">
        <v>329</v>
      </c>
    </row>
    <row r="1017" spans="1:5" ht="25.5" x14ac:dyDescent="0.2">
      <c r="A1017" s="6" t="str">
        <f>HYPERLINK(SUBSTITUTE(T(hl_0),"{0}","442393876738092"),hn_0)</f>
        <v>ОВ</v>
      </c>
      <c r="B1017" s="7">
        <v>8600</v>
      </c>
      <c r="C1017" s="8" t="s">
        <v>105</v>
      </c>
      <c r="D1017" s="8" t="s">
        <v>77</v>
      </c>
      <c r="E1017" s="13" t="s">
        <v>585</v>
      </c>
    </row>
    <row r="1018" spans="1:5" ht="25.5" x14ac:dyDescent="0.2">
      <c r="A1018" s="6" t="str">
        <f>HYPERLINK(SUBSTITUTE(T(hl_0),"{0}","442391283312837"),hn_0)</f>
        <v>ОВ</v>
      </c>
      <c r="B1018" s="7">
        <v>39940</v>
      </c>
      <c r="C1018" s="8" t="s">
        <v>13</v>
      </c>
      <c r="D1018" s="8" t="s">
        <v>11</v>
      </c>
      <c r="E1018" s="13" t="s">
        <v>14</v>
      </c>
    </row>
    <row r="1019" spans="1:5" ht="25.5" x14ac:dyDescent="0.2">
      <c r="A1019" s="6" t="str">
        <f>HYPERLINK(SUBSTITUTE(T(hl_0),"{0}","442391470376407"),hn_0)</f>
        <v>ОВ</v>
      </c>
      <c r="B1019" s="7">
        <v>17000</v>
      </c>
      <c r="C1019" s="8" t="s">
        <v>18</v>
      </c>
      <c r="D1019" s="8" t="s">
        <v>19</v>
      </c>
      <c r="E1019" s="13" t="s">
        <v>20</v>
      </c>
    </row>
    <row r="1020" spans="1:5" ht="25.5" x14ac:dyDescent="0.2">
      <c r="A1020" s="6" t="str">
        <f>HYPERLINK(SUBSTITUTE(T(hl_0),"{0}","442392721473303"),hn_0)</f>
        <v>ОВ</v>
      </c>
      <c r="B1020" s="7">
        <v>8300</v>
      </c>
      <c r="C1020" s="8" t="s">
        <v>224</v>
      </c>
      <c r="D1020" s="8" t="s">
        <v>11</v>
      </c>
      <c r="E1020" s="13" t="s">
        <v>225</v>
      </c>
    </row>
    <row r="1021" spans="1:5" ht="38.25" x14ac:dyDescent="0.2">
      <c r="A1021" s="6" t="str">
        <f>HYPERLINK(SUBSTITUTE(T(hl_0),"{0}","442392720982871"),hn_0)</f>
        <v>ОВ</v>
      </c>
      <c r="B1021" s="7">
        <v>15000</v>
      </c>
      <c r="C1021" s="8" t="s">
        <v>105</v>
      </c>
      <c r="D1021" s="8" t="s">
        <v>67</v>
      </c>
      <c r="E1021" s="13" t="s">
        <v>586</v>
      </c>
    </row>
    <row r="1022" spans="1:5" ht="25.5" x14ac:dyDescent="0.2">
      <c r="A1022" s="6" t="str">
        <f>HYPERLINK(SUBSTITUTE(T(hl_0),"{0}","442391142187964"),hn_0)</f>
        <v>ОВ</v>
      </c>
      <c r="B1022" s="7">
        <v>18000</v>
      </c>
      <c r="C1022" s="8" t="s">
        <v>21</v>
      </c>
      <c r="D1022" s="8" t="s">
        <v>11</v>
      </c>
      <c r="E1022" s="13" t="s">
        <v>22</v>
      </c>
    </row>
    <row r="1023" spans="1:5" ht="25.5" x14ac:dyDescent="0.2">
      <c r="A1023" s="6" t="str">
        <f>HYPERLINK(SUBSTITUTE(T(hl_0),"{0}","442391283312075"),hn_0)</f>
        <v>ОВ</v>
      </c>
      <c r="B1023" s="7">
        <v>39940</v>
      </c>
      <c r="C1023" s="8" t="s">
        <v>13</v>
      </c>
      <c r="D1023" s="8" t="s">
        <v>11</v>
      </c>
      <c r="E1023" s="13" t="s">
        <v>14</v>
      </c>
    </row>
    <row r="1024" spans="1:5" ht="25.5" x14ac:dyDescent="0.2">
      <c r="A1024" s="6" t="str">
        <f>HYPERLINK(SUBSTITUTE(T(hl_0),"{0}","442391283501479"),hn_0)</f>
        <v>ОВ</v>
      </c>
      <c r="B1024" s="7">
        <v>29060</v>
      </c>
      <c r="C1024" s="8" t="s">
        <v>51</v>
      </c>
      <c r="D1024" s="8" t="s">
        <v>11</v>
      </c>
      <c r="E1024" s="13" t="s">
        <v>52</v>
      </c>
    </row>
    <row r="1025" spans="1:5" ht="25.5" x14ac:dyDescent="0.2">
      <c r="A1025" s="6" t="str">
        <f>HYPERLINK(SUBSTITUTE(T(hl_0),"{0}","442391435688021"),hn_0)</f>
        <v>ОВ</v>
      </c>
      <c r="B1025" s="7">
        <v>20160</v>
      </c>
      <c r="C1025" s="8" t="s">
        <v>69</v>
      </c>
      <c r="D1025" s="8" t="s">
        <v>70</v>
      </c>
      <c r="E1025" s="13" t="s">
        <v>71</v>
      </c>
    </row>
    <row r="1026" spans="1:5" ht="25.5" x14ac:dyDescent="0.2">
      <c r="A1026" s="6" t="str">
        <f>HYPERLINK(SUBSTITUTE(T(hl_0),"{0}","442391718741445"),hn_0)</f>
        <v>ОВ</v>
      </c>
      <c r="B1026" s="7">
        <v>11835.76</v>
      </c>
      <c r="C1026" s="8" t="s">
        <v>239</v>
      </c>
      <c r="D1026" s="8" t="s">
        <v>11</v>
      </c>
      <c r="E1026" s="13" t="s">
        <v>538</v>
      </c>
    </row>
    <row r="1027" spans="1:5" ht="25.5" x14ac:dyDescent="0.2">
      <c r="A1027" s="6" t="str">
        <f>HYPERLINK(SUBSTITUTE(T(hl_0),"{0}","442392721473210"),hn_0)</f>
        <v>ОВ</v>
      </c>
      <c r="B1027" s="7">
        <v>8300</v>
      </c>
      <c r="C1027" s="8" t="s">
        <v>224</v>
      </c>
      <c r="D1027" s="8" t="s">
        <v>11</v>
      </c>
      <c r="E1027" s="13" t="s">
        <v>225</v>
      </c>
    </row>
    <row r="1028" spans="1:5" ht="25.5" x14ac:dyDescent="0.2">
      <c r="A1028" s="6" t="str">
        <f>HYPERLINK(SUBSTITUTE(T(hl_0),"{0}","442386197264752"),hn_0)</f>
        <v>ОВ</v>
      </c>
      <c r="B1028" s="7">
        <v>8671.74</v>
      </c>
      <c r="C1028" s="8" t="s">
        <v>396</v>
      </c>
      <c r="D1028" s="8" t="s">
        <v>11</v>
      </c>
      <c r="E1028" s="13" t="s">
        <v>397</v>
      </c>
    </row>
    <row r="1029" spans="1:5" ht="25.5" x14ac:dyDescent="0.2">
      <c r="A1029" s="6" t="str">
        <f>HYPERLINK(SUBSTITUTE(T(hl_0),"{0}","442384658195573"),hn_0)</f>
        <v>ОВ</v>
      </c>
      <c r="B1029" s="7">
        <v>8000</v>
      </c>
      <c r="C1029" s="8" t="s">
        <v>239</v>
      </c>
      <c r="D1029" s="8" t="s">
        <v>11</v>
      </c>
      <c r="E1029" s="13" t="s">
        <v>587</v>
      </c>
    </row>
    <row r="1030" spans="1:5" ht="25.5" x14ac:dyDescent="0.2">
      <c r="A1030" s="6" t="str">
        <f>HYPERLINK(SUBSTITUTE(T(hl_0),"{0}","442386197000857"),hn_0)</f>
        <v>ОВ</v>
      </c>
      <c r="B1030" s="7">
        <v>8909.61</v>
      </c>
      <c r="C1030" s="8" t="s">
        <v>95</v>
      </c>
      <c r="D1030" s="8" t="s">
        <v>11</v>
      </c>
      <c r="E1030" s="13" t="s">
        <v>305</v>
      </c>
    </row>
    <row r="1031" spans="1:5" ht="25.5" x14ac:dyDescent="0.2">
      <c r="A1031" s="6" t="str">
        <f>HYPERLINK(SUBSTITUTE(T(hl_0),"{0}","442384081446044"),hn_0)</f>
        <v>ОВ</v>
      </c>
      <c r="B1031" s="7">
        <v>8000</v>
      </c>
      <c r="C1031" s="8" t="s">
        <v>145</v>
      </c>
      <c r="D1031" s="8" t="s">
        <v>11</v>
      </c>
      <c r="E1031" s="13" t="s">
        <v>588</v>
      </c>
    </row>
    <row r="1032" spans="1:5" ht="76.5" x14ac:dyDescent="0.2">
      <c r="A1032" s="6" t="str">
        <f>HYPERLINK(SUBSTITUTE(T(hl_0),"{0}","442393653400598"),hn_0)</f>
        <v>ОВ</v>
      </c>
      <c r="B1032" s="7">
        <v>14000</v>
      </c>
      <c r="C1032" s="8" t="s">
        <v>41</v>
      </c>
      <c r="D1032" s="8" t="s">
        <v>11</v>
      </c>
      <c r="E1032" s="13" t="s">
        <v>42</v>
      </c>
    </row>
    <row r="1033" spans="1:5" ht="25.5" x14ac:dyDescent="0.2">
      <c r="A1033" s="6" t="str">
        <f>HYPERLINK(SUBSTITUTE(T(hl_0),"{0}","442394346008164"),hn_0)</f>
        <v>ОВ</v>
      </c>
      <c r="B1033" s="7">
        <v>20000</v>
      </c>
      <c r="C1033" s="8" t="s">
        <v>91</v>
      </c>
      <c r="D1033" s="8" t="s">
        <v>19</v>
      </c>
      <c r="E1033" s="13" t="s">
        <v>158</v>
      </c>
    </row>
    <row r="1034" spans="1:5" ht="25.5" x14ac:dyDescent="0.2">
      <c r="A1034" s="6" t="str">
        <f>HYPERLINK(SUBSTITUTE(T(hl_0),"{0}","442393905109628"),hn_0)</f>
        <v>ОВ</v>
      </c>
      <c r="B1034" s="7">
        <v>14000</v>
      </c>
      <c r="C1034" s="8" t="s">
        <v>141</v>
      </c>
      <c r="D1034" s="8" t="s">
        <v>11</v>
      </c>
      <c r="E1034" s="13" t="s">
        <v>142</v>
      </c>
    </row>
    <row r="1035" spans="1:5" ht="25.5" x14ac:dyDescent="0.2">
      <c r="A1035" s="6" t="str">
        <f>HYPERLINK(SUBSTITUTE(T(hl_0),"{0}","442392720640926"),hn_0)</f>
        <v>ОВ</v>
      </c>
      <c r="B1035" s="7">
        <v>16400</v>
      </c>
      <c r="C1035" s="8" t="s">
        <v>53</v>
      </c>
      <c r="D1035" s="8" t="s">
        <v>39</v>
      </c>
      <c r="E1035" s="13" t="s">
        <v>54</v>
      </c>
    </row>
    <row r="1036" spans="1:5" ht="25.5" x14ac:dyDescent="0.2">
      <c r="A1036" s="6" t="str">
        <f>HYPERLINK(SUBSTITUTE(T(hl_0),"{0}","442392720482246"),hn_0)</f>
        <v>ОВ</v>
      </c>
      <c r="B1036" s="7">
        <v>14700</v>
      </c>
      <c r="C1036" s="8" t="s">
        <v>74</v>
      </c>
      <c r="D1036" s="8" t="s">
        <v>39</v>
      </c>
      <c r="E1036" s="13" t="s">
        <v>75</v>
      </c>
    </row>
    <row r="1037" spans="1:5" ht="25.5" x14ac:dyDescent="0.2">
      <c r="A1037" s="6" t="str">
        <f>HYPERLINK(SUBSTITUTE(T(hl_0),"{0}","442391470340671"),hn_0)</f>
        <v>ОВ</v>
      </c>
      <c r="B1037" s="7">
        <v>22000</v>
      </c>
      <c r="C1037" s="8" t="s">
        <v>51</v>
      </c>
      <c r="D1037" s="8" t="s">
        <v>19</v>
      </c>
      <c r="E1037" s="13" t="s">
        <v>82</v>
      </c>
    </row>
    <row r="1038" spans="1:5" ht="25.5" x14ac:dyDescent="0.2">
      <c r="A1038" s="6" t="str">
        <f>HYPERLINK(SUBSTITUTE(T(hl_0),"{0}","442391141855469"),hn_0)</f>
        <v>ОВ</v>
      </c>
      <c r="B1038" s="7">
        <v>14700</v>
      </c>
      <c r="C1038" s="8" t="s">
        <v>264</v>
      </c>
      <c r="D1038" s="8" t="s">
        <v>265</v>
      </c>
      <c r="E1038" s="13" t="s">
        <v>266</v>
      </c>
    </row>
    <row r="1039" spans="1:5" ht="25.5" x14ac:dyDescent="0.2">
      <c r="A1039" s="6" t="str">
        <f>HYPERLINK(SUBSTITUTE(T(hl_0),"{0}","442391284077170"),hn_0)</f>
        <v>ОВ</v>
      </c>
      <c r="B1039" s="7">
        <v>23845</v>
      </c>
      <c r="C1039" s="8" t="s">
        <v>23</v>
      </c>
      <c r="D1039" s="8" t="s">
        <v>11</v>
      </c>
      <c r="E1039" s="13" t="s">
        <v>24</v>
      </c>
    </row>
    <row r="1040" spans="1:5" ht="25.5" x14ac:dyDescent="0.2">
      <c r="A1040" s="6" t="str">
        <f>HYPERLINK(SUBSTITUTE(T(hl_0),"{0}","442390732047149"),hn_0)</f>
        <v>ОВ</v>
      </c>
      <c r="B1040" s="7">
        <v>8000</v>
      </c>
      <c r="C1040" s="8" t="s">
        <v>589</v>
      </c>
      <c r="D1040" s="8" t="s">
        <v>11</v>
      </c>
      <c r="E1040" s="13" t="s">
        <v>590</v>
      </c>
    </row>
    <row r="1041" spans="1:5" ht="25.5" x14ac:dyDescent="0.2">
      <c r="A1041" s="6" t="str">
        <f>HYPERLINK(SUBSTITUTE(T(hl_0),"{0}","442390287904732"),hn_0)</f>
        <v>ОВ</v>
      </c>
      <c r="B1041" s="7">
        <v>20000</v>
      </c>
      <c r="C1041" s="8" t="s">
        <v>45</v>
      </c>
      <c r="D1041" s="8" t="s">
        <v>11</v>
      </c>
      <c r="E1041" s="13" t="s">
        <v>99</v>
      </c>
    </row>
    <row r="1042" spans="1:5" ht="25.5" x14ac:dyDescent="0.2">
      <c r="A1042" s="6" t="str">
        <f>HYPERLINK(SUBSTITUTE(T(hl_0),"{0}","442389665645813"),hn_0)</f>
        <v>ОВ</v>
      </c>
      <c r="B1042" s="7">
        <v>20000</v>
      </c>
      <c r="C1042" s="8" t="s">
        <v>51</v>
      </c>
      <c r="D1042" s="8" t="s">
        <v>11</v>
      </c>
      <c r="E1042" s="13" t="s">
        <v>288</v>
      </c>
    </row>
    <row r="1043" spans="1:5" ht="25.5" x14ac:dyDescent="0.2">
      <c r="A1043" s="6" t="str">
        <f>HYPERLINK(SUBSTITUTE(T(hl_0),"{0}","442389999112818"),hn_0)</f>
        <v>ОВ</v>
      </c>
      <c r="B1043" s="7">
        <v>8000</v>
      </c>
      <c r="C1043" s="8" t="s">
        <v>194</v>
      </c>
      <c r="D1043" s="8" t="s">
        <v>11</v>
      </c>
      <c r="E1043" s="13" t="s">
        <v>591</v>
      </c>
    </row>
    <row r="1044" spans="1:5" ht="25.5" x14ac:dyDescent="0.2">
      <c r="A1044" s="6" t="str">
        <f>HYPERLINK(SUBSTITUTE(T(hl_0),"{0}","442388541472466"),hn_0)</f>
        <v>ОВ</v>
      </c>
      <c r="B1044" s="7">
        <v>19578</v>
      </c>
      <c r="C1044" s="8" t="s">
        <v>286</v>
      </c>
      <c r="D1044" s="8" t="s">
        <v>25</v>
      </c>
      <c r="E1044" s="13" t="s">
        <v>287</v>
      </c>
    </row>
    <row r="1045" spans="1:5" ht="25.5" x14ac:dyDescent="0.2">
      <c r="A1045" s="6" t="str">
        <f>HYPERLINK(SUBSTITUTE(T(hl_0),"{0}","442389663935387"),hn_0)</f>
        <v>ОВ</v>
      </c>
      <c r="B1045" s="7">
        <v>25000</v>
      </c>
      <c r="C1045" s="8" t="s">
        <v>379</v>
      </c>
      <c r="D1045" s="8" t="s">
        <v>33</v>
      </c>
      <c r="E1045" s="13" t="s">
        <v>450</v>
      </c>
    </row>
    <row r="1046" spans="1:5" ht="25.5" x14ac:dyDescent="0.2">
      <c r="A1046" s="6" t="str">
        <f>HYPERLINK(SUBSTITUTE(T(hl_0),"{0}","442386197046480"),hn_0)</f>
        <v>ОВ</v>
      </c>
      <c r="B1046" s="7">
        <v>8000</v>
      </c>
      <c r="C1046" s="8" t="s">
        <v>76</v>
      </c>
      <c r="D1046" s="8" t="s">
        <v>11</v>
      </c>
      <c r="E1046" s="13" t="s">
        <v>592</v>
      </c>
    </row>
    <row r="1047" spans="1:5" ht="25.5" x14ac:dyDescent="0.2">
      <c r="A1047" s="6" t="str">
        <f>HYPERLINK(SUBSTITUTE(T(hl_0),"{0}","442385430372910"),hn_0)</f>
        <v>ОВ</v>
      </c>
      <c r="B1047" s="7">
        <v>9278.4</v>
      </c>
      <c r="C1047" s="8" t="s">
        <v>346</v>
      </c>
      <c r="D1047" s="8" t="s">
        <v>11</v>
      </c>
      <c r="E1047" s="13" t="s">
        <v>593</v>
      </c>
    </row>
    <row r="1048" spans="1:5" ht="25.5" x14ac:dyDescent="0.2">
      <c r="A1048" s="6" t="str">
        <f>HYPERLINK(SUBSTITUTE(T(hl_0),"{0}","442395530260383"),hn_0)</f>
        <v>ОВ</v>
      </c>
      <c r="B1048" s="7">
        <v>13849</v>
      </c>
      <c r="C1048" s="8" t="s">
        <v>294</v>
      </c>
      <c r="D1048" s="8" t="s">
        <v>11</v>
      </c>
      <c r="E1048" s="13" t="s">
        <v>295</v>
      </c>
    </row>
    <row r="1049" spans="1:5" ht="25.5" x14ac:dyDescent="0.2">
      <c r="A1049" s="6" t="str">
        <f>HYPERLINK(SUBSTITUTE(T(hl_0),"{0}","442393529353248"),hn_0)</f>
        <v>ОВ</v>
      </c>
      <c r="B1049" s="7">
        <v>8000</v>
      </c>
      <c r="C1049" s="8" t="s">
        <v>133</v>
      </c>
      <c r="D1049" s="8" t="s">
        <v>33</v>
      </c>
      <c r="E1049" s="13" t="s">
        <v>475</v>
      </c>
    </row>
    <row r="1050" spans="1:5" ht="25.5" x14ac:dyDescent="0.2">
      <c r="A1050" s="6" t="str">
        <f>HYPERLINK(SUBSTITUTE(T(hl_0),"{0}","442394900908231"),hn_0)</f>
        <v>ОВ</v>
      </c>
      <c r="B1050" s="7">
        <v>8700</v>
      </c>
      <c r="C1050" s="8" t="s">
        <v>594</v>
      </c>
      <c r="D1050" s="8" t="s">
        <v>11</v>
      </c>
      <c r="E1050" s="13" t="s">
        <v>595</v>
      </c>
    </row>
    <row r="1051" spans="1:5" ht="25.5" x14ac:dyDescent="0.2">
      <c r="A1051" s="6" t="str">
        <f>HYPERLINK(SUBSTITUTE(T(hl_0),"{0}","442394900954351"),hn_0)</f>
        <v>ОВ</v>
      </c>
      <c r="B1051" s="7">
        <v>8500</v>
      </c>
      <c r="C1051" s="8" t="s">
        <v>434</v>
      </c>
      <c r="D1051" s="8" t="s">
        <v>11</v>
      </c>
      <c r="E1051" s="13" t="s">
        <v>435</v>
      </c>
    </row>
    <row r="1052" spans="1:5" ht="25.5" x14ac:dyDescent="0.2">
      <c r="A1052" s="6" t="str">
        <f>HYPERLINK(SUBSTITUTE(T(hl_0),"{0}","442394952745679"),hn_0)</f>
        <v>ОВ</v>
      </c>
      <c r="B1052" s="7">
        <v>8000</v>
      </c>
      <c r="C1052" s="8" t="s">
        <v>589</v>
      </c>
      <c r="D1052" s="8" t="s">
        <v>11</v>
      </c>
      <c r="E1052" s="13" t="s">
        <v>596</v>
      </c>
    </row>
    <row r="1053" spans="1:5" ht="25.5" x14ac:dyDescent="0.2">
      <c r="A1053" s="6" t="str">
        <f>HYPERLINK(SUBSTITUTE(T(hl_0),"{0}","442391284015103"),hn_0)</f>
        <v>ОВ</v>
      </c>
      <c r="B1053" s="7">
        <v>23845</v>
      </c>
      <c r="C1053" s="8" t="s">
        <v>91</v>
      </c>
      <c r="D1053" s="8" t="s">
        <v>11</v>
      </c>
      <c r="E1053" s="13" t="s">
        <v>92</v>
      </c>
    </row>
    <row r="1054" spans="1:5" ht="25.5" x14ac:dyDescent="0.2">
      <c r="A1054" s="6" t="str">
        <f>HYPERLINK(SUBSTITUTE(T(hl_0),"{0}","442391470730301"),hn_0)</f>
        <v>ОВ</v>
      </c>
      <c r="B1054" s="7">
        <v>20000</v>
      </c>
      <c r="C1054" s="8" t="s">
        <v>315</v>
      </c>
      <c r="D1054" s="8" t="s">
        <v>19</v>
      </c>
      <c r="E1054" s="13" t="s">
        <v>316</v>
      </c>
    </row>
    <row r="1055" spans="1:5" ht="25.5" x14ac:dyDescent="0.2">
      <c r="A1055" s="6" t="str">
        <f>HYPERLINK(SUBSTITUTE(T(hl_0),"{0}","442391470340428"),hn_0)</f>
        <v>ОВ</v>
      </c>
      <c r="B1055" s="7">
        <v>22000</v>
      </c>
      <c r="C1055" s="8" t="s">
        <v>51</v>
      </c>
      <c r="D1055" s="8" t="s">
        <v>19</v>
      </c>
      <c r="E1055" s="13" t="s">
        <v>82</v>
      </c>
    </row>
    <row r="1056" spans="1:5" ht="38.25" x14ac:dyDescent="0.2">
      <c r="A1056" s="6" t="str">
        <f>HYPERLINK(SUBSTITUTE(T(hl_0),"{0}","442392384461858"),hn_0)</f>
        <v>ОВ</v>
      </c>
      <c r="B1056" s="7">
        <v>8000</v>
      </c>
      <c r="C1056" s="8" t="s">
        <v>239</v>
      </c>
      <c r="D1056" s="8" t="s">
        <v>25</v>
      </c>
      <c r="E1056" s="13" t="s">
        <v>597</v>
      </c>
    </row>
    <row r="1057" spans="1:5" ht="25.5" x14ac:dyDescent="0.2">
      <c r="A1057" s="6" t="str">
        <f>HYPERLINK(SUBSTITUTE(T(hl_0),"{0}","442391717051821"),hn_0)</f>
        <v>ОВ</v>
      </c>
      <c r="B1057" s="7">
        <v>15000</v>
      </c>
      <c r="C1057" s="8" t="s">
        <v>72</v>
      </c>
      <c r="D1057" s="8" t="s">
        <v>11</v>
      </c>
      <c r="E1057" s="13" t="s">
        <v>598</v>
      </c>
    </row>
    <row r="1058" spans="1:5" ht="25.5" x14ac:dyDescent="0.2">
      <c r="A1058" s="6" t="str">
        <f>HYPERLINK(SUBSTITUTE(T(hl_0),"{0}","442391435748057"),hn_0)</f>
        <v>ОВ</v>
      </c>
      <c r="B1058" s="7">
        <v>16000</v>
      </c>
      <c r="C1058" s="8" t="s">
        <v>15</v>
      </c>
      <c r="D1058" s="8" t="s">
        <v>70</v>
      </c>
      <c r="E1058" s="13" t="s">
        <v>339</v>
      </c>
    </row>
    <row r="1059" spans="1:5" ht="25.5" x14ac:dyDescent="0.2">
      <c r="A1059" s="6" t="str">
        <f>HYPERLINK(SUBSTITUTE(T(hl_0),"{0}","442390448327353"),hn_0)</f>
        <v>ОВ</v>
      </c>
      <c r="B1059" s="7">
        <v>12290</v>
      </c>
      <c r="C1059" s="8" t="s">
        <v>244</v>
      </c>
      <c r="D1059" s="8" t="s">
        <v>77</v>
      </c>
      <c r="E1059" s="13" t="s">
        <v>245</v>
      </c>
    </row>
    <row r="1060" spans="1:5" ht="25.5" x14ac:dyDescent="0.2">
      <c r="A1060" s="6" t="str">
        <f>HYPERLINK(SUBSTITUTE(T(hl_0),"{0}","442391283323650"),hn_0)</f>
        <v>ОВ</v>
      </c>
      <c r="B1060" s="7">
        <v>39940</v>
      </c>
      <c r="C1060" s="8" t="s">
        <v>13</v>
      </c>
      <c r="D1060" s="8" t="s">
        <v>11</v>
      </c>
      <c r="E1060" s="13" t="s">
        <v>14</v>
      </c>
    </row>
    <row r="1061" spans="1:5" ht="25.5" x14ac:dyDescent="0.2">
      <c r="A1061" s="6" t="str">
        <f>HYPERLINK(SUBSTITUTE(T(hl_0),"{0}","442391435687968"),hn_0)</f>
        <v>ОВ</v>
      </c>
      <c r="B1061" s="7">
        <v>20160</v>
      </c>
      <c r="C1061" s="8" t="s">
        <v>69</v>
      </c>
      <c r="D1061" s="8" t="s">
        <v>70</v>
      </c>
      <c r="E1061" s="13" t="s">
        <v>71</v>
      </c>
    </row>
    <row r="1062" spans="1:5" ht="25.5" x14ac:dyDescent="0.2">
      <c r="A1062" s="6" t="str">
        <f>HYPERLINK(SUBSTITUTE(T(hl_0),"{0}","442392721493098"),hn_0)</f>
        <v>ОВ</v>
      </c>
      <c r="B1062" s="7">
        <v>8300</v>
      </c>
      <c r="C1062" s="8" t="s">
        <v>213</v>
      </c>
      <c r="D1062" s="8" t="s">
        <v>11</v>
      </c>
      <c r="E1062" s="13" t="s">
        <v>214</v>
      </c>
    </row>
    <row r="1063" spans="1:5" ht="25.5" x14ac:dyDescent="0.2">
      <c r="A1063" s="6" t="str">
        <f>HYPERLINK(SUBSTITUTE(T(hl_0),"{0}","442391283502251"),hn_0)</f>
        <v>ОВ</v>
      </c>
      <c r="B1063" s="7">
        <v>29060</v>
      </c>
      <c r="C1063" s="8" t="s">
        <v>51</v>
      </c>
      <c r="D1063" s="8" t="s">
        <v>11</v>
      </c>
      <c r="E1063" s="13" t="s">
        <v>52</v>
      </c>
    </row>
    <row r="1064" spans="1:5" ht="25.5" x14ac:dyDescent="0.2">
      <c r="A1064" s="6" t="str">
        <f>HYPERLINK(SUBSTITUTE(T(hl_0),"{0}","442391470319075"),hn_0)</f>
        <v>ОВ</v>
      </c>
      <c r="B1064" s="7">
        <v>15000</v>
      </c>
      <c r="C1064" s="8" t="s">
        <v>91</v>
      </c>
      <c r="D1064" s="8" t="s">
        <v>19</v>
      </c>
      <c r="E1064" s="13" t="s">
        <v>158</v>
      </c>
    </row>
    <row r="1065" spans="1:5" ht="25.5" x14ac:dyDescent="0.2">
      <c r="A1065" s="6" t="str">
        <f>HYPERLINK(SUBSTITUTE(T(hl_0),"{0}","442392720462665"),hn_0)</f>
        <v>ОВ</v>
      </c>
      <c r="B1065" s="7">
        <v>16400</v>
      </c>
      <c r="C1065" s="8" t="s">
        <v>97</v>
      </c>
      <c r="D1065" s="8" t="s">
        <v>39</v>
      </c>
      <c r="E1065" s="13" t="s">
        <v>98</v>
      </c>
    </row>
    <row r="1066" spans="1:5" ht="25.5" x14ac:dyDescent="0.2">
      <c r="A1066" s="6" t="str">
        <f>HYPERLINK(SUBSTITUTE(T(hl_0),"{0}","442389663677397"),hn_0)</f>
        <v>ОВ</v>
      </c>
      <c r="B1066" s="7">
        <v>13900</v>
      </c>
      <c r="C1066" s="8" t="s">
        <v>51</v>
      </c>
      <c r="D1066" s="8" t="s">
        <v>11</v>
      </c>
      <c r="E1066" s="13" t="s">
        <v>159</v>
      </c>
    </row>
    <row r="1067" spans="1:5" ht="25.5" x14ac:dyDescent="0.2">
      <c r="A1067" s="6" t="str">
        <f>HYPERLINK(SUBSTITUTE(T(hl_0),"{0}","442389664829038"),hn_0)</f>
        <v>ОВ</v>
      </c>
      <c r="B1067" s="7">
        <v>22000</v>
      </c>
      <c r="C1067" s="8" t="s">
        <v>51</v>
      </c>
      <c r="D1067" s="8" t="s">
        <v>19</v>
      </c>
      <c r="E1067" s="13" t="s">
        <v>82</v>
      </c>
    </row>
    <row r="1068" spans="1:5" ht="38.25" x14ac:dyDescent="0.2">
      <c r="A1068" s="6" t="str">
        <f>HYPERLINK(SUBSTITUTE(T(hl_0),"{0}","442384894055117"),hn_0)</f>
        <v>ОВ</v>
      </c>
      <c r="B1068" s="7">
        <v>24600</v>
      </c>
      <c r="C1068" s="8" t="s">
        <v>327</v>
      </c>
      <c r="D1068" s="8" t="s">
        <v>11</v>
      </c>
      <c r="E1068" s="13" t="s">
        <v>328</v>
      </c>
    </row>
    <row r="1069" spans="1:5" ht="25.5" x14ac:dyDescent="0.2">
      <c r="A1069" s="6" t="str">
        <f>HYPERLINK(SUBSTITUTE(T(hl_0),"{0}","442386197280336"),hn_0)</f>
        <v>ОВ</v>
      </c>
      <c r="B1069" s="7">
        <v>8000</v>
      </c>
      <c r="C1069" s="8" t="s">
        <v>137</v>
      </c>
      <c r="D1069" s="8" t="s">
        <v>11</v>
      </c>
      <c r="E1069" s="13" t="s">
        <v>599</v>
      </c>
    </row>
    <row r="1070" spans="1:5" ht="25.5" x14ac:dyDescent="0.2">
      <c r="A1070" s="6" t="str">
        <f>HYPERLINK(SUBSTITUTE(T(hl_0),"{0}","442384043351183"),hn_0)</f>
        <v>ОВ</v>
      </c>
      <c r="B1070" s="7">
        <v>17000</v>
      </c>
      <c r="C1070" s="8" t="s">
        <v>191</v>
      </c>
      <c r="D1070" s="8" t="s">
        <v>192</v>
      </c>
      <c r="E1070" s="13" t="s">
        <v>193</v>
      </c>
    </row>
    <row r="1071" spans="1:5" ht="25.5" x14ac:dyDescent="0.2">
      <c r="A1071" s="6" t="str">
        <f>HYPERLINK(SUBSTITUTE(T(hl_0),"{0}","442395314089912"),hn_0)</f>
        <v>ОВ</v>
      </c>
      <c r="B1071" s="7">
        <v>15000</v>
      </c>
      <c r="C1071" s="8" t="s">
        <v>600</v>
      </c>
      <c r="D1071" s="8" t="s">
        <v>11</v>
      </c>
      <c r="E1071" s="13" t="s">
        <v>601</v>
      </c>
    </row>
    <row r="1072" spans="1:5" ht="25.5" x14ac:dyDescent="0.2">
      <c r="A1072" s="6" t="str">
        <f>HYPERLINK(SUBSTITUTE(T(hl_0),"{0}","442393905061733"),hn_0)</f>
        <v>ОВ</v>
      </c>
      <c r="B1072" s="7">
        <v>8667</v>
      </c>
      <c r="C1072" s="8" t="s">
        <v>43</v>
      </c>
      <c r="D1072" s="8" t="s">
        <v>11</v>
      </c>
      <c r="E1072" s="13" t="s">
        <v>44</v>
      </c>
    </row>
    <row r="1073" spans="1:5" ht="38.25" x14ac:dyDescent="0.2">
      <c r="A1073" s="6" t="str">
        <f>HYPERLINK(SUBSTITUTE(T(hl_0),"{0}","442393877058889"),hn_0)</f>
        <v>ОВ</v>
      </c>
      <c r="B1073" s="7">
        <v>8000</v>
      </c>
      <c r="C1073" s="8" t="s">
        <v>428</v>
      </c>
      <c r="D1073" s="8" t="s">
        <v>11</v>
      </c>
      <c r="E1073" s="13" t="s">
        <v>602</v>
      </c>
    </row>
    <row r="1074" spans="1:5" ht="25.5" x14ac:dyDescent="0.2">
      <c r="A1074" s="6" t="str">
        <f>HYPERLINK(SUBSTITUTE(T(hl_0),"{0}","442391283344212"),hn_0)</f>
        <v>ОВ</v>
      </c>
      <c r="B1074" s="7">
        <v>39940</v>
      </c>
      <c r="C1074" s="8" t="s">
        <v>13</v>
      </c>
      <c r="D1074" s="8" t="s">
        <v>11</v>
      </c>
      <c r="E1074" s="13" t="s">
        <v>14</v>
      </c>
    </row>
    <row r="1075" spans="1:5" ht="25.5" x14ac:dyDescent="0.2">
      <c r="A1075" s="6" t="str">
        <f>HYPERLINK(SUBSTITUTE(T(hl_0),"{0}","442390288086898"),hn_0)</f>
        <v>ОВ</v>
      </c>
      <c r="B1075" s="7">
        <v>10000</v>
      </c>
      <c r="C1075" s="8" t="s">
        <v>412</v>
      </c>
      <c r="D1075" s="8" t="s">
        <v>429</v>
      </c>
      <c r="E1075" s="13" t="s">
        <v>603</v>
      </c>
    </row>
    <row r="1076" spans="1:5" ht="25.5" x14ac:dyDescent="0.2">
      <c r="A1076" s="6" t="str">
        <f>HYPERLINK(SUBSTITUTE(T(hl_0),"{0}","442391142188094"),hn_0)</f>
        <v>ОВ</v>
      </c>
      <c r="B1076" s="7">
        <v>18000</v>
      </c>
      <c r="C1076" s="8" t="s">
        <v>21</v>
      </c>
      <c r="D1076" s="8" t="s">
        <v>11</v>
      </c>
      <c r="E1076" s="13" t="s">
        <v>22</v>
      </c>
    </row>
    <row r="1077" spans="1:5" ht="25.5" x14ac:dyDescent="0.2">
      <c r="A1077" s="6" t="str">
        <f>HYPERLINK(SUBSTITUTE(T(hl_0),"{0}","442391283482832"),hn_0)</f>
        <v>ОВ</v>
      </c>
      <c r="B1077" s="7">
        <v>45470</v>
      </c>
      <c r="C1077" s="8" t="s">
        <v>186</v>
      </c>
      <c r="D1077" s="8" t="s">
        <v>11</v>
      </c>
      <c r="E1077" s="13" t="s">
        <v>187</v>
      </c>
    </row>
    <row r="1078" spans="1:5" ht="25.5" x14ac:dyDescent="0.2">
      <c r="A1078" s="6" t="str">
        <f>HYPERLINK(SUBSTITUTE(T(hl_0),"{0}","442390287904830"),hn_0)</f>
        <v>ОВ</v>
      </c>
      <c r="B1078" s="7">
        <v>20000</v>
      </c>
      <c r="C1078" s="8" t="s">
        <v>45</v>
      </c>
      <c r="D1078" s="8" t="s">
        <v>11</v>
      </c>
      <c r="E1078" s="13" t="s">
        <v>99</v>
      </c>
    </row>
    <row r="1079" spans="1:5" ht="25.5" x14ac:dyDescent="0.2">
      <c r="A1079" s="6" t="str">
        <f>HYPERLINK(SUBSTITUTE(T(hl_0),"{0}","442391470338512"),hn_0)</f>
        <v>ОВ</v>
      </c>
      <c r="B1079" s="7">
        <v>22000</v>
      </c>
      <c r="C1079" s="8" t="s">
        <v>51</v>
      </c>
      <c r="D1079" s="8" t="s">
        <v>19</v>
      </c>
      <c r="E1079" s="13" t="s">
        <v>82</v>
      </c>
    </row>
    <row r="1080" spans="1:5" ht="38.25" x14ac:dyDescent="0.2">
      <c r="A1080" s="6" t="str">
        <f>HYPERLINK(SUBSTITUTE(T(hl_0),"{0}","442388541433883"),hn_0)</f>
        <v>ОВ</v>
      </c>
      <c r="B1080" s="7">
        <v>15991.92</v>
      </c>
      <c r="C1080" s="8" t="s">
        <v>51</v>
      </c>
      <c r="D1080" s="8" t="s">
        <v>25</v>
      </c>
      <c r="E1080" s="13" t="s">
        <v>56</v>
      </c>
    </row>
    <row r="1081" spans="1:5" ht="25.5" x14ac:dyDescent="0.2">
      <c r="A1081" s="6" t="str">
        <f>HYPERLINK(SUBSTITUTE(T(hl_0),"{0}","442389663872106"),hn_0)</f>
        <v>ОВ</v>
      </c>
      <c r="B1081" s="7">
        <v>13900</v>
      </c>
      <c r="C1081" s="8" t="s">
        <v>51</v>
      </c>
      <c r="D1081" s="8" t="s">
        <v>11</v>
      </c>
      <c r="E1081" s="13" t="s">
        <v>159</v>
      </c>
    </row>
    <row r="1082" spans="1:5" ht="38.25" x14ac:dyDescent="0.2">
      <c r="A1082" s="6" t="str">
        <f>HYPERLINK(SUBSTITUTE(T(hl_0),"{0}","442388541433528"),hn_0)</f>
        <v>ОВ</v>
      </c>
      <c r="B1082" s="7">
        <v>15991.92</v>
      </c>
      <c r="C1082" s="8" t="s">
        <v>18</v>
      </c>
      <c r="D1082" s="8" t="s">
        <v>25</v>
      </c>
      <c r="E1082" s="13" t="s">
        <v>35</v>
      </c>
    </row>
    <row r="1083" spans="1:5" ht="25.5" x14ac:dyDescent="0.2">
      <c r="A1083" s="6" t="str">
        <f>HYPERLINK(SUBSTITUTE(T(hl_0),"{0}","442389452095999"),hn_0)</f>
        <v>ОВ</v>
      </c>
      <c r="B1083" s="7">
        <v>22000</v>
      </c>
      <c r="C1083" s="8" t="s">
        <v>57</v>
      </c>
      <c r="D1083" s="8" t="s">
        <v>33</v>
      </c>
      <c r="E1083" s="13" t="s">
        <v>58</v>
      </c>
    </row>
    <row r="1084" spans="1:5" ht="25.5" x14ac:dyDescent="0.2">
      <c r="A1084" s="6" t="str">
        <f>HYPERLINK(SUBSTITUTE(T(hl_0),"{0}","442388471981140"),hn_0)</f>
        <v>ОВ</v>
      </c>
      <c r="B1084" s="7">
        <v>8000</v>
      </c>
      <c r="C1084" s="8" t="s">
        <v>544</v>
      </c>
      <c r="D1084" s="8" t="s">
        <v>241</v>
      </c>
      <c r="E1084" s="13" t="s">
        <v>604</v>
      </c>
    </row>
    <row r="1085" spans="1:5" ht="38.25" x14ac:dyDescent="0.2">
      <c r="A1085" s="6" t="str">
        <f>HYPERLINK(SUBSTITUTE(T(hl_0),"{0}","442384857540981"),hn_0)</f>
        <v>ОВ</v>
      </c>
      <c r="B1085" s="7">
        <v>8100</v>
      </c>
      <c r="C1085" s="8" t="s">
        <v>202</v>
      </c>
      <c r="D1085" s="8" t="s">
        <v>11</v>
      </c>
      <c r="E1085" s="13" t="s">
        <v>203</v>
      </c>
    </row>
    <row r="1086" spans="1:5" ht="25.5" x14ac:dyDescent="0.2">
      <c r="A1086" s="6" t="str">
        <f>HYPERLINK(SUBSTITUTE(T(hl_0),"{0}","442386197308643"),hn_0)</f>
        <v>ОВ</v>
      </c>
      <c r="B1086" s="7">
        <v>8350.57</v>
      </c>
      <c r="C1086" s="8" t="s">
        <v>174</v>
      </c>
      <c r="D1086" s="8" t="s">
        <v>11</v>
      </c>
      <c r="E1086" s="13" t="s">
        <v>136</v>
      </c>
    </row>
    <row r="1087" spans="1:5" ht="25.5" x14ac:dyDescent="0.2">
      <c r="A1087" s="6" t="str">
        <f>HYPERLINK(SUBSTITUTE(T(hl_0),"{0}","442393673975978"),hn_0)</f>
        <v>ОВ</v>
      </c>
      <c r="B1087" s="7">
        <v>8400</v>
      </c>
      <c r="C1087" s="8" t="s">
        <v>605</v>
      </c>
      <c r="D1087" s="8" t="s">
        <v>228</v>
      </c>
      <c r="E1087" s="13" t="s">
        <v>606</v>
      </c>
    </row>
    <row r="1088" spans="1:5" ht="25.5" x14ac:dyDescent="0.2">
      <c r="A1088" s="6" t="str">
        <f>HYPERLINK(SUBSTITUTE(T(hl_0),"{0}","442393905068081"),hn_0)</f>
        <v>ОВ</v>
      </c>
      <c r="B1088" s="7">
        <v>14000</v>
      </c>
      <c r="C1088" s="8" t="s">
        <v>250</v>
      </c>
      <c r="D1088" s="8" t="s">
        <v>11</v>
      </c>
      <c r="E1088" s="13" t="s">
        <v>251</v>
      </c>
    </row>
    <row r="1089" spans="1:5" ht="25.5" x14ac:dyDescent="0.2">
      <c r="A1089" s="6" t="str">
        <f>HYPERLINK(SUBSTITUTE(T(hl_0),"{0}","442393905061531"),hn_0)</f>
        <v>ОВ</v>
      </c>
      <c r="B1089" s="7">
        <v>8667</v>
      </c>
      <c r="C1089" s="8" t="s">
        <v>43</v>
      </c>
      <c r="D1089" s="8" t="s">
        <v>11</v>
      </c>
      <c r="E1089" s="13" t="s">
        <v>44</v>
      </c>
    </row>
    <row r="1090" spans="1:5" ht="25.5" x14ac:dyDescent="0.2">
      <c r="A1090" s="6" t="str">
        <f>HYPERLINK(SUBSTITUTE(T(hl_0),"{0}","442394952638793"),hn_0)</f>
        <v>ОВ</v>
      </c>
      <c r="B1090" s="7">
        <v>8000</v>
      </c>
      <c r="C1090" s="8" t="s">
        <v>116</v>
      </c>
      <c r="D1090" s="8" t="s">
        <v>441</v>
      </c>
      <c r="E1090" s="13" t="s">
        <v>607</v>
      </c>
    </row>
    <row r="1091" spans="1:5" ht="25.5" x14ac:dyDescent="0.2">
      <c r="A1091" s="6" t="str">
        <f>HYPERLINK(SUBSTITUTE(T(hl_0),"{0}","442394286150683"),hn_0)</f>
        <v>ОВ</v>
      </c>
      <c r="B1091" s="7">
        <v>12000</v>
      </c>
      <c r="C1091" s="8" t="s">
        <v>137</v>
      </c>
      <c r="D1091" s="8" t="s">
        <v>39</v>
      </c>
      <c r="E1091" s="13" t="s">
        <v>329</v>
      </c>
    </row>
    <row r="1092" spans="1:5" ht="25.5" x14ac:dyDescent="0.2">
      <c r="A1092" s="6" t="str">
        <f>HYPERLINK(SUBSTITUTE(T(hl_0),"{0}","442380629637608"),hn_0)</f>
        <v>ОВ</v>
      </c>
      <c r="B1092" s="7">
        <v>8300</v>
      </c>
      <c r="C1092" s="8" t="s">
        <v>105</v>
      </c>
      <c r="D1092" s="8" t="s">
        <v>11</v>
      </c>
      <c r="E1092" s="13" t="s">
        <v>368</v>
      </c>
    </row>
    <row r="1093" spans="1:5" ht="25.5" x14ac:dyDescent="0.2">
      <c r="A1093" s="6" t="str">
        <f>HYPERLINK(SUBSTITUTE(T(hl_0),"{0}","442392406638199"),hn_0)</f>
        <v>ОВ</v>
      </c>
      <c r="B1093" s="7">
        <v>10000</v>
      </c>
      <c r="C1093" s="8" t="s">
        <v>236</v>
      </c>
      <c r="D1093" s="8" t="s">
        <v>77</v>
      </c>
      <c r="E1093" s="13" t="s">
        <v>237</v>
      </c>
    </row>
    <row r="1094" spans="1:5" ht="25.5" x14ac:dyDescent="0.2">
      <c r="A1094" s="6" t="str">
        <f>HYPERLINK(SUBSTITUTE(T(hl_0),"{0}","442392544682537"),hn_0)</f>
        <v>ОВ</v>
      </c>
      <c r="B1094" s="7">
        <v>8900</v>
      </c>
      <c r="C1094" s="8" t="s">
        <v>137</v>
      </c>
      <c r="D1094" s="8" t="s">
        <v>11</v>
      </c>
      <c r="E1094" s="13" t="s">
        <v>608</v>
      </c>
    </row>
    <row r="1095" spans="1:5" ht="25.5" x14ac:dyDescent="0.2">
      <c r="A1095" s="6" t="str">
        <f>HYPERLINK(SUBSTITUTE(T(hl_0),"{0}","442391142187714"),hn_0)</f>
        <v>ОВ</v>
      </c>
      <c r="B1095" s="7">
        <v>18000</v>
      </c>
      <c r="C1095" s="8" t="s">
        <v>21</v>
      </c>
      <c r="D1095" s="8" t="s">
        <v>11</v>
      </c>
      <c r="E1095" s="13" t="s">
        <v>22</v>
      </c>
    </row>
    <row r="1096" spans="1:5" ht="25.5" x14ac:dyDescent="0.2">
      <c r="A1096" s="6" t="str">
        <f>HYPERLINK(SUBSTITUTE(T(hl_0),"{0}","442391435688208"),hn_0)</f>
        <v>ОВ</v>
      </c>
      <c r="B1096" s="7">
        <v>20160</v>
      </c>
      <c r="C1096" s="8" t="s">
        <v>69</v>
      </c>
      <c r="D1096" s="8" t="s">
        <v>70</v>
      </c>
      <c r="E1096" s="13" t="s">
        <v>71</v>
      </c>
    </row>
    <row r="1097" spans="1:5" ht="25.5" x14ac:dyDescent="0.2">
      <c r="A1097" s="6" t="str">
        <f>HYPERLINK(SUBSTITUTE(T(hl_0),"{0}","442391284014479"),hn_0)</f>
        <v>ОВ</v>
      </c>
      <c r="B1097" s="7">
        <v>23845</v>
      </c>
      <c r="C1097" s="8" t="s">
        <v>91</v>
      </c>
      <c r="D1097" s="8" t="s">
        <v>11</v>
      </c>
      <c r="E1097" s="13" t="s">
        <v>92</v>
      </c>
    </row>
    <row r="1098" spans="1:5" ht="38.25" x14ac:dyDescent="0.2">
      <c r="A1098" s="6" t="str">
        <f>HYPERLINK(SUBSTITUTE(T(hl_0),"{0}","442391504405404"),hn_0)</f>
        <v>ОВ</v>
      </c>
      <c r="B1098" s="7">
        <v>10000</v>
      </c>
      <c r="C1098" s="8" t="s">
        <v>211</v>
      </c>
      <c r="D1098" s="8" t="s">
        <v>11</v>
      </c>
      <c r="E1098" s="13" t="s">
        <v>212</v>
      </c>
    </row>
    <row r="1099" spans="1:5" ht="25.5" x14ac:dyDescent="0.2">
      <c r="A1099" s="6" t="str">
        <f>HYPERLINK(SUBSTITUTE(T(hl_0),"{0}","442391718741594"),hn_0)</f>
        <v>ОВ</v>
      </c>
      <c r="B1099" s="7">
        <v>11835.76</v>
      </c>
      <c r="C1099" s="8" t="s">
        <v>239</v>
      </c>
      <c r="D1099" s="8" t="s">
        <v>11</v>
      </c>
      <c r="E1099" s="13" t="s">
        <v>538</v>
      </c>
    </row>
    <row r="1100" spans="1:5" ht="25.5" x14ac:dyDescent="0.2">
      <c r="A1100" s="6" t="str">
        <f>HYPERLINK(SUBSTITUTE(T(hl_0),"{0}","442391470306834"),hn_0)</f>
        <v>ОВ</v>
      </c>
      <c r="B1100" s="7">
        <v>25000</v>
      </c>
      <c r="C1100" s="8" t="s">
        <v>13</v>
      </c>
      <c r="D1100" s="8" t="s">
        <v>19</v>
      </c>
      <c r="E1100" s="13" t="s">
        <v>93</v>
      </c>
    </row>
    <row r="1101" spans="1:5" ht="25.5" x14ac:dyDescent="0.2">
      <c r="A1101" s="6" t="str">
        <f>HYPERLINK(SUBSTITUTE(T(hl_0),"{0}","442391470338755"),hn_0)</f>
        <v>ОВ</v>
      </c>
      <c r="B1101" s="7">
        <v>22000</v>
      </c>
      <c r="C1101" s="8" t="s">
        <v>51</v>
      </c>
      <c r="D1101" s="8" t="s">
        <v>19</v>
      </c>
      <c r="E1101" s="13" t="s">
        <v>82</v>
      </c>
    </row>
    <row r="1102" spans="1:5" ht="25.5" x14ac:dyDescent="0.2">
      <c r="A1102" s="6" t="str">
        <f>HYPERLINK(SUBSTITUTE(T(hl_0),"{0}","442386646616872"),hn_0)</f>
        <v>ОВ</v>
      </c>
      <c r="B1102" s="7">
        <v>8100</v>
      </c>
      <c r="C1102" s="8" t="s">
        <v>230</v>
      </c>
      <c r="D1102" s="8" t="s">
        <v>11</v>
      </c>
      <c r="E1102" s="13" t="s">
        <v>231</v>
      </c>
    </row>
    <row r="1103" spans="1:5" ht="25.5" x14ac:dyDescent="0.2">
      <c r="A1103" s="6" t="str">
        <f>HYPERLINK(SUBSTITUTE(T(hl_0),"{0}","442389800876434"),hn_0)</f>
        <v>ОВ</v>
      </c>
      <c r="B1103" s="7">
        <v>9100</v>
      </c>
      <c r="C1103" s="8" t="s">
        <v>76</v>
      </c>
      <c r="D1103" s="8" t="s">
        <v>77</v>
      </c>
      <c r="E1103" s="13" t="s">
        <v>78</v>
      </c>
    </row>
    <row r="1104" spans="1:5" ht="25.5" x14ac:dyDescent="0.2">
      <c r="A1104" s="6" t="str">
        <f>HYPERLINK(SUBSTITUTE(T(hl_0),"{0}","442388539442447"),hn_0)</f>
        <v>ОВ</v>
      </c>
      <c r="B1104" s="7">
        <v>11000</v>
      </c>
      <c r="C1104" s="8" t="s">
        <v>576</v>
      </c>
      <c r="D1104" s="8" t="s">
        <v>77</v>
      </c>
      <c r="E1104" s="13" t="s">
        <v>609</v>
      </c>
    </row>
    <row r="1105" spans="1:5" ht="25.5" x14ac:dyDescent="0.2">
      <c r="A1105" s="6" t="str">
        <f>HYPERLINK(SUBSTITUTE(T(hl_0),"{0}","442387927111662"),hn_0)</f>
        <v>ОВ</v>
      </c>
      <c r="B1105" s="7">
        <v>10300</v>
      </c>
      <c r="C1105" s="8" t="s">
        <v>276</v>
      </c>
      <c r="D1105" s="8" t="s">
        <v>11</v>
      </c>
      <c r="E1105" s="13" t="s">
        <v>610</v>
      </c>
    </row>
    <row r="1106" spans="1:5" ht="25.5" x14ac:dyDescent="0.2">
      <c r="A1106" s="6" t="str">
        <f>HYPERLINK(SUBSTITUTE(T(hl_0),"{0}","442384820455633"),hn_0)</f>
        <v>ОВ</v>
      </c>
      <c r="B1106" s="7">
        <v>8200</v>
      </c>
      <c r="C1106" s="8" t="s">
        <v>500</v>
      </c>
      <c r="D1106" s="8" t="s">
        <v>11</v>
      </c>
      <c r="E1106" s="13" t="s">
        <v>611</v>
      </c>
    </row>
    <row r="1107" spans="1:5" ht="25.5" x14ac:dyDescent="0.2">
      <c r="A1107" s="6" t="str">
        <f>HYPERLINK(SUBSTITUTE(T(hl_0),"{0}","442385613716599"),hn_0)</f>
        <v>ОВ</v>
      </c>
      <c r="B1107" s="7">
        <v>10629</v>
      </c>
      <c r="C1107" s="8" t="s">
        <v>342</v>
      </c>
      <c r="D1107" s="8" t="s">
        <v>11</v>
      </c>
      <c r="E1107" s="13" t="s">
        <v>612</v>
      </c>
    </row>
    <row r="1108" spans="1:5" ht="25.5" x14ac:dyDescent="0.2">
      <c r="A1108" s="6" t="str">
        <f>HYPERLINK(SUBSTITUTE(T(hl_0),"{0}","442384043351887"),hn_0)</f>
        <v>ОВ</v>
      </c>
      <c r="B1108" s="7">
        <v>17000</v>
      </c>
      <c r="C1108" s="8" t="s">
        <v>191</v>
      </c>
      <c r="D1108" s="8" t="s">
        <v>192</v>
      </c>
      <c r="E1108" s="13" t="s">
        <v>193</v>
      </c>
    </row>
    <row r="1109" spans="1:5" ht="25.5" x14ac:dyDescent="0.2">
      <c r="A1109" s="6" t="str">
        <f>HYPERLINK(SUBSTITUTE(T(hl_0),"{0}","442395530260559"),hn_0)</f>
        <v>ОВ</v>
      </c>
      <c r="B1109" s="7">
        <v>13849</v>
      </c>
      <c r="C1109" s="8" t="s">
        <v>294</v>
      </c>
      <c r="D1109" s="8" t="s">
        <v>11</v>
      </c>
      <c r="E1109" s="13" t="s">
        <v>295</v>
      </c>
    </row>
    <row r="1110" spans="1:5" ht="25.5" x14ac:dyDescent="0.2">
      <c r="A1110" s="6" t="str">
        <f>HYPERLINK(SUBSTITUTE(T(hl_0),"{0}","442394504652628"),hn_0)</f>
        <v>ОВ</v>
      </c>
      <c r="B1110" s="7">
        <v>8300</v>
      </c>
      <c r="C1110" s="8" t="s">
        <v>21</v>
      </c>
      <c r="D1110" s="8" t="s">
        <v>11</v>
      </c>
      <c r="E1110" s="13" t="s">
        <v>613</v>
      </c>
    </row>
    <row r="1111" spans="1:5" ht="25.5" x14ac:dyDescent="0.2">
      <c r="A1111" s="6" t="str">
        <f>HYPERLINK(SUBSTITUTE(T(hl_0),"{0}","442393905146334"),hn_0)</f>
        <v>ОВ</v>
      </c>
      <c r="B1111" s="7">
        <v>8667</v>
      </c>
      <c r="C1111" s="8" t="s">
        <v>122</v>
      </c>
      <c r="D1111" s="8" t="s">
        <v>11</v>
      </c>
      <c r="E1111" s="13" t="s">
        <v>498</v>
      </c>
    </row>
    <row r="1112" spans="1:5" ht="38.25" x14ac:dyDescent="0.2">
      <c r="A1112" s="6" t="str">
        <f>HYPERLINK(SUBSTITUTE(T(hl_0),"{0}","442394681239912"),hn_0)</f>
        <v>ОВ</v>
      </c>
      <c r="B1112" s="7">
        <v>8500</v>
      </c>
      <c r="C1112" s="8" t="s">
        <v>145</v>
      </c>
      <c r="D1112" s="8" t="s">
        <v>11</v>
      </c>
      <c r="E1112" s="13" t="s">
        <v>614</v>
      </c>
    </row>
    <row r="1113" spans="1:5" ht="25.5" x14ac:dyDescent="0.2">
      <c r="A1113" s="6" t="str">
        <f>HYPERLINK(SUBSTITUTE(T(hl_0),"{0}","442394286303536"),hn_0)</f>
        <v>ОВ</v>
      </c>
      <c r="B1113" s="7">
        <v>12000</v>
      </c>
      <c r="C1113" s="8" t="s">
        <v>306</v>
      </c>
      <c r="D1113" s="8" t="s">
        <v>39</v>
      </c>
      <c r="E1113" s="13" t="s">
        <v>491</v>
      </c>
    </row>
    <row r="1114" spans="1:5" ht="25.5" x14ac:dyDescent="0.2">
      <c r="A1114" s="6" t="str">
        <f>HYPERLINK(SUBSTITUTE(T(hl_0),"{0}","442392720575077"),hn_0)</f>
        <v>ОВ</v>
      </c>
      <c r="B1114" s="7">
        <v>18800</v>
      </c>
      <c r="C1114" s="8" t="s">
        <v>518</v>
      </c>
      <c r="D1114" s="8" t="s">
        <v>39</v>
      </c>
      <c r="E1114" s="13" t="s">
        <v>519</v>
      </c>
    </row>
    <row r="1115" spans="1:5" ht="25.5" x14ac:dyDescent="0.2">
      <c r="A1115" s="6" t="str">
        <f>HYPERLINK(SUBSTITUTE(T(hl_0),"{0}","442391142187684"),hn_0)</f>
        <v>ОВ</v>
      </c>
      <c r="B1115" s="7">
        <v>18000</v>
      </c>
      <c r="C1115" s="8" t="s">
        <v>21</v>
      </c>
      <c r="D1115" s="8" t="s">
        <v>11</v>
      </c>
      <c r="E1115" s="13" t="s">
        <v>22</v>
      </c>
    </row>
    <row r="1116" spans="1:5" ht="25.5" x14ac:dyDescent="0.2">
      <c r="A1116" s="6" t="str">
        <f>HYPERLINK(SUBSTITUTE(T(hl_0),"{0}","442391470338865"),hn_0)</f>
        <v>ОВ</v>
      </c>
      <c r="B1116" s="7">
        <v>22000</v>
      </c>
      <c r="C1116" s="8" t="s">
        <v>51</v>
      </c>
      <c r="D1116" s="8" t="s">
        <v>19</v>
      </c>
      <c r="E1116" s="13" t="s">
        <v>82</v>
      </c>
    </row>
    <row r="1117" spans="1:5" ht="25.5" x14ac:dyDescent="0.2">
      <c r="A1117" s="6" t="str">
        <f>HYPERLINK(SUBSTITUTE(T(hl_0),"{0}","442391283283714"),hn_0)</f>
        <v>ОВ</v>
      </c>
      <c r="B1117" s="7">
        <v>42050</v>
      </c>
      <c r="C1117" s="8" t="s">
        <v>102</v>
      </c>
      <c r="D1117" s="8" t="s">
        <v>11</v>
      </c>
      <c r="E1117" s="13" t="s">
        <v>103</v>
      </c>
    </row>
    <row r="1118" spans="1:5" ht="25.5" x14ac:dyDescent="0.2">
      <c r="A1118" s="6" t="str">
        <f>HYPERLINK(SUBSTITUTE(T(hl_0),"{0}","442391435748040"),hn_0)</f>
        <v>ОВ</v>
      </c>
      <c r="B1118" s="7">
        <v>16000</v>
      </c>
      <c r="C1118" s="8" t="s">
        <v>15</v>
      </c>
      <c r="D1118" s="8" t="s">
        <v>70</v>
      </c>
      <c r="E1118" s="13" t="s">
        <v>339</v>
      </c>
    </row>
    <row r="1119" spans="1:5" ht="25.5" x14ac:dyDescent="0.2">
      <c r="A1119" s="6" t="str">
        <f>HYPERLINK(SUBSTITUTE(T(hl_0),"{0}","442390730509617"),hn_0)</f>
        <v>ОВ</v>
      </c>
      <c r="B1119" s="7">
        <v>20000</v>
      </c>
      <c r="C1119" s="8" t="s">
        <v>72</v>
      </c>
      <c r="D1119" s="8" t="s">
        <v>138</v>
      </c>
      <c r="E1119" s="13" t="s">
        <v>615</v>
      </c>
    </row>
    <row r="1120" spans="1:5" ht="25.5" x14ac:dyDescent="0.2">
      <c r="A1120" s="6" t="str">
        <f>HYPERLINK(SUBSTITUTE(T(hl_0),"{0}","442391283501591"),hn_0)</f>
        <v>ОВ</v>
      </c>
      <c r="B1120" s="7">
        <v>29060</v>
      </c>
      <c r="C1120" s="8" t="s">
        <v>51</v>
      </c>
      <c r="D1120" s="8" t="s">
        <v>11</v>
      </c>
      <c r="E1120" s="13" t="s">
        <v>52</v>
      </c>
    </row>
    <row r="1121" spans="1:5" ht="25.5" x14ac:dyDescent="0.2">
      <c r="A1121" s="6" t="str">
        <f>HYPERLINK(SUBSTITUTE(T(hl_0),"{0}","442392406637356"),hn_0)</f>
        <v>ОВ</v>
      </c>
      <c r="B1121" s="7">
        <v>10000</v>
      </c>
      <c r="C1121" s="8" t="s">
        <v>236</v>
      </c>
      <c r="D1121" s="8" t="s">
        <v>77</v>
      </c>
      <c r="E1121" s="13" t="s">
        <v>237</v>
      </c>
    </row>
    <row r="1122" spans="1:5" ht="25.5" x14ac:dyDescent="0.2">
      <c r="A1122" s="6" t="str">
        <f>HYPERLINK(SUBSTITUTE(T(hl_0),"{0}","442390378884184"),hn_0)</f>
        <v>ОВ</v>
      </c>
      <c r="B1122" s="7">
        <v>13000</v>
      </c>
      <c r="C1122" s="8" t="s">
        <v>145</v>
      </c>
      <c r="D1122" s="8" t="s">
        <v>11</v>
      </c>
      <c r="E1122" s="13" t="s">
        <v>616</v>
      </c>
    </row>
    <row r="1123" spans="1:5" ht="25.5" x14ac:dyDescent="0.2">
      <c r="A1123" s="6" t="str">
        <f>HYPERLINK(SUBSTITUTE(T(hl_0),"{0}","442391718700575"),hn_0)</f>
        <v>ОВ</v>
      </c>
      <c r="B1123" s="7">
        <v>11835.76</v>
      </c>
      <c r="C1123" s="8" t="s">
        <v>239</v>
      </c>
      <c r="D1123" s="8" t="s">
        <v>11</v>
      </c>
      <c r="E1123" s="13" t="s">
        <v>538</v>
      </c>
    </row>
    <row r="1124" spans="1:5" ht="25.5" x14ac:dyDescent="0.2">
      <c r="A1124" s="6" t="str">
        <f>HYPERLINK(SUBSTITUTE(T(hl_0),"{0}","442391282709354"),hn_0)</f>
        <v>ОВ</v>
      </c>
      <c r="B1124" s="7">
        <v>16400</v>
      </c>
      <c r="C1124" s="8" t="s">
        <v>303</v>
      </c>
      <c r="D1124" s="8" t="s">
        <v>39</v>
      </c>
      <c r="E1124" s="13" t="s">
        <v>304</v>
      </c>
    </row>
    <row r="1125" spans="1:5" ht="38.25" x14ac:dyDescent="0.2">
      <c r="A1125" s="6" t="str">
        <f>HYPERLINK(SUBSTITUTE(T(hl_0),"{0}","442388541433919"),hn_0)</f>
        <v>ОВ</v>
      </c>
      <c r="B1125" s="7">
        <v>15991.92</v>
      </c>
      <c r="C1125" s="8" t="s">
        <v>51</v>
      </c>
      <c r="D1125" s="8" t="s">
        <v>25</v>
      </c>
      <c r="E1125" s="13" t="s">
        <v>56</v>
      </c>
    </row>
    <row r="1126" spans="1:5" ht="51" x14ac:dyDescent="0.2">
      <c r="A1126" s="6" t="str">
        <f>HYPERLINK(SUBSTITUTE(T(hl_0),"{0}","442389665575936"),hn_0)</f>
        <v>ОВ</v>
      </c>
      <c r="B1126" s="7">
        <v>25000</v>
      </c>
      <c r="C1126" s="8" t="s">
        <v>32</v>
      </c>
      <c r="D1126" s="8" t="s">
        <v>33</v>
      </c>
      <c r="E1126" s="13" t="s">
        <v>34</v>
      </c>
    </row>
    <row r="1127" spans="1:5" ht="38.25" x14ac:dyDescent="0.2">
      <c r="A1127" s="6" t="str">
        <f>HYPERLINK(SUBSTITUTE(T(hl_0),"{0}","442388655987287"),hn_0)</f>
        <v>ОВ</v>
      </c>
      <c r="B1127" s="7">
        <v>20000</v>
      </c>
      <c r="C1127" s="8" t="s">
        <v>342</v>
      </c>
      <c r="D1127" s="8" t="s">
        <v>11</v>
      </c>
      <c r="E1127" s="13" t="s">
        <v>343</v>
      </c>
    </row>
    <row r="1128" spans="1:5" ht="25.5" x14ac:dyDescent="0.2">
      <c r="A1128" s="6" t="str">
        <f>HYPERLINK(SUBSTITUTE(T(hl_0),"{0}","442389664828937"),hn_0)</f>
        <v>ОВ</v>
      </c>
      <c r="B1128" s="7">
        <v>22000</v>
      </c>
      <c r="C1128" s="8" t="s">
        <v>51</v>
      </c>
      <c r="D1128" s="8" t="s">
        <v>19</v>
      </c>
      <c r="E1128" s="13" t="s">
        <v>82</v>
      </c>
    </row>
    <row r="1129" spans="1:5" ht="25.5" x14ac:dyDescent="0.2">
      <c r="A1129" s="6" t="str">
        <f>HYPERLINK(SUBSTITUTE(T(hl_0),"{0}","442386197272546"),hn_0)</f>
        <v>ОВ</v>
      </c>
      <c r="B1129" s="7">
        <v>11598.9</v>
      </c>
      <c r="C1129" s="8" t="s">
        <v>247</v>
      </c>
      <c r="D1129" s="8" t="s">
        <v>11</v>
      </c>
      <c r="E1129" s="13" t="s">
        <v>248</v>
      </c>
    </row>
    <row r="1130" spans="1:5" ht="25.5" x14ac:dyDescent="0.2">
      <c r="A1130" s="6" t="str">
        <f>HYPERLINK(SUBSTITUTE(T(hl_0),"{0}","442386197094332"),hn_0)</f>
        <v>ОВ</v>
      </c>
      <c r="B1130" s="7">
        <v>8000</v>
      </c>
      <c r="C1130" s="8" t="s">
        <v>100</v>
      </c>
      <c r="D1130" s="8" t="s">
        <v>11</v>
      </c>
      <c r="E1130" s="13" t="s">
        <v>617</v>
      </c>
    </row>
    <row r="1131" spans="1:5" ht="25.5" x14ac:dyDescent="0.2">
      <c r="A1131" s="6" t="str">
        <f>HYPERLINK(SUBSTITUTE(T(hl_0),"{0}","442385111124294"),hn_0)</f>
        <v>ОВ</v>
      </c>
      <c r="B1131" s="7">
        <v>9000</v>
      </c>
      <c r="C1131" s="8" t="s">
        <v>38</v>
      </c>
      <c r="D1131" s="8" t="s">
        <v>39</v>
      </c>
      <c r="E1131" s="13" t="s">
        <v>40</v>
      </c>
    </row>
    <row r="1132" spans="1:5" ht="25.5" x14ac:dyDescent="0.2">
      <c r="A1132" s="6" t="str">
        <f>HYPERLINK(SUBSTITUTE(T(hl_0),"{0}","442395373827854"),hn_0)</f>
        <v>ОВ</v>
      </c>
      <c r="B1132" s="7">
        <v>8300</v>
      </c>
      <c r="C1132" s="8" t="s">
        <v>21</v>
      </c>
      <c r="D1132" s="8" t="s">
        <v>11</v>
      </c>
      <c r="E1132" s="13" t="s">
        <v>618</v>
      </c>
    </row>
    <row r="1133" spans="1:5" ht="25.5" x14ac:dyDescent="0.2">
      <c r="A1133" s="6" t="str">
        <f>HYPERLINK(SUBSTITUTE(T(hl_0),"{0}","442394286150664"),hn_0)</f>
        <v>ОВ</v>
      </c>
      <c r="B1133" s="7">
        <v>12000</v>
      </c>
      <c r="C1133" s="8" t="s">
        <v>137</v>
      </c>
      <c r="D1133" s="8" t="s">
        <v>39</v>
      </c>
      <c r="E1133" s="13" t="s">
        <v>329</v>
      </c>
    </row>
    <row r="1134" spans="1:5" ht="25.5" x14ac:dyDescent="0.2">
      <c r="A1134" s="6" t="str">
        <f>HYPERLINK(SUBSTITUTE(T(hl_0),"{0}","442393529340256"),hn_0)</f>
        <v>ОВ</v>
      </c>
      <c r="B1134" s="7">
        <v>9000</v>
      </c>
      <c r="C1134" s="8" t="s">
        <v>105</v>
      </c>
      <c r="D1134" s="8" t="s">
        <v>33</v>
      </c>
      <c r="E1134" s="13" t="s">
        <v>619</v>
      </c>
    </row>
    <row r="1135" spans="1:5" ht="25.5" x14ac:dyDescent="0.2">
      <c r="A1135" s="6" t="str">
        <f>HYPERLINK(SUBSTITUTE(T(hl_0),"{0}","442391470322611"),hn_0)</f>
        <v>ОВ</v>
      </c>
      <c r="B1135" s="7">
        <v>22000</v>
      </c>
      <c r="C1135" s="8" t="s">
        <v>51</v>
      </c>
      <c r="D1135" s="8" t="s">
        <v>19</v>
      </c>
      <c r="E1135" s="13" t="s">
        <v>82</v>
      </c>
    </row>
    <row r="1136" spans="1:5" ht="25.5" x14ac:dyDescent="0.2">
      <c r="A1136" s="6" t="str">
        <f>HYPERLINK(SUBSTITUTE(T(hl_0),"{0}","442390383752622"),hn_0)</f>
        <v>ОВ</v>
      </c>
      <c r="B1136" s="7">
        <v>25000</v>
      </c>
      <c r="C1136" s="8" t="s">
        <v>102</v>
      </c>
      <c r="D1136" s="8" t="s">
        <v>19</v>
      </c>
      <c r="E1136" s="13" t="s">
        <v>198</v>
      </c>
    </row>
    <row r="1137" spans="1:5" ht="25.5" x14ac:dyDescent="0.2">
      <c r="A1137" s="6" t="str">
        <f>HYPERLINK(SUBSTITUTE(T(hl_0),"{0}","442392406635293"),hn_0)</f>
        <v>ОВ</v>
      </c>
      <c r="B1137" s="7">
        <v>10000</v>
      </c>
      <c r="C1137" s="8" t="s">
        <v>620</v>
      </c>
      <c r="D1137" s="8" t="s">
        <v>77</v>
      </c>
      <c r="E1137" s="13" t="s">
        <v>621</v>
      </c>
    </row>
    <row r="1138" spans="1:5" ht="25.5" x14ac:dyDescent="0.2">
      <c r="A1138" s="6" t="str">
        <f>HYPERLINK(SUBSTITUTE(T(hl_0),"{0}","442391283500238"),hn_0)</f>
        <v>ОВ</v>
      </c>
      <c r="B1138" s="7">
        <v>29060</v>
      </c>
      <c r="C1138" s="8" t="s">
        <v>51</v>
      </c>
      <c r="D1138" s="8" t="s">
        <v>11</v>
      </c>
      <c r="E1138" s="13" t="s">
        <v>52</v>
      </c>
    </row>
    <row r="1139" spans="1:5" ht="25.5" x14ac:dyDescent="0.2">
      <c r="A1139" s="6" t="str">
        <f>HYPERLINK(SUBSTITUTE(T(hl_0),"{0}","442392720486607"),hn_0)</f>
        <v>ОВ</v>
      </c>
      <c r="B1139" s="7">
        <v>14700</v>
      </c>
      <c r="C1139" s="8" t="s">
        <v>74</v>
      </c>
      <c r="D1139" s="8" t="s">
        <v>39</v>
      </c>
      <c r="E1139" s="13" t="s">
        <v>75</v>
      </c>
    </row>
    <row r="1140" spans="1:5" ht="38.25" x14ac:dyDescent="0.2">
      <c r="A1140" s="6" t="str">
        <f>HYPERLINK(SUBSTITUTE(T(hl_0),"{0}","442388541433335"),hn_0)</f>
        <v>ОВ</v>
      </c>
      <c r="B1140" s="7">
        <v>15991.92</v>
      </c>
      <c r="C1140" s="8" t="s">
        <v>18</v>
      </c>
      <c r="D1140" s="8" t="s">
        <v>25</v>
      </c>
      <c r="E1140" s="13" t="s">
        <v>35</v>
      </c>
    </row>
    <row r="1141" spans="1:5" ht="25.5" x14ac:dyDescent="0.2">
      <c r="A1141" s="6" t="str">
        <f>HYPERLINK(SUBSTITUTE(T(hl_0),"{0}","442386197319694"),hn_0)</f>
        <v>ОВ</v>
      </c>
      <c r="B1141" s="7">
        <v>11420.75</v>
      </c>
      <c r="C1141" s="8" t="s">
        <v>181</v>
      </c>
      <c r="D1141" s="8" t="s">
        <v>11</v>
      </c>
      <c r="E1141" s="13" t="s">
        <v>182</v>
      </c>
    </row>
    <row r="1142" spans="1:5" ht="25.5" x14ac:dyDescent="0.2">
      <c r="A1142" s="6" t="str">
        <f>HYPERLINK(SUBSTITUTE(T(hl_0),"{0}","442385430169427"),hn_0)</f>
        <v>ОВ</v>
      </c>
      <c r="B1142" s="7">
        <v>8000</v>
      </c>
      <c r="C1142" s="8" t="s">
        <v>434</v>
      </c>
      <c r="D1142" s="8" t="s">
        <v>11</v>
      </c>
      <c r="E1142" s="13" t="s">
        <v>622</v>
      </c>
    </row>
    <row r="1143" spans="1:5" ht="51" x14ac:dyDescent="0.2">
      <c r="A1143" s="6" t="str">
        <f>HYPERLINK(SUBSTITUTE(T(hl_0),"{0}","442385616117076"),hn_0)</f>
        <v>ОВ</v>
      </c>
      <c r="B1143" s="7">
        <v>20000</v>
      </c>
      <c r="C1143" s="8" t="s">
        <v>89</v>
      </c>
      <c r="D1143" s="8" t="s">
        <v>16</v>
      </c>
      <c r="E1143" s="13" t="s">
        <v>623</v>
      </c>
    </row>
    <row r="1144" spans="1:5" ht="25.5" x14ac:dyDescent="0.2">
      <c r="A1144" s="6" t="str">
        <f>HYPERLINK(SUBSTITUTE(T(hl_0),"{0}","442385835941662"),hn_0)</f>
        <v>ОВ</v>
      </c>
      <c r="B1144" s="7">
        <v>10901</v>
      </c>
      <c r="C1144" s="8" t="s">
        <v>624</v>
      </c>
      <c r="D1144" s="8" t="s">
        <v>11</v>
      </c>
      <c r="E1144" s="13" t="s">
        <v>625</v>
      </c>
    </row>
    <row r="1145" spans="1:5" ht="25.5" x14ac:dyDescent="0.2">
      <c r="A1145" s="6" t="str">
        <f>HYPERLINK(SUBSTITUTE(T(hl_0),"{0}","442395503173477"),hn_0)</f>
        <v>ОВ</v>
      </c>
      <c r="B1145" s="7">
        <v>8300</v>
      </c>
      <c r="C1145" s="8" t="s">
        <v>122</v>
      </c>
      <c r="D1145" s="8" t="s">
        <v>11</v>
      </c>
      <c r="E1145" s="13" t="s">
        <v>293</v>
      </c>
    </row>
    <row r="1146" spans="1:5" ht="25.5" x14ac:dyDescent="0.2">
      <c r="A1146" s="6" t="str">
        <f>HYPERLINK(SUBSTITUTE(T(hl_0),"{0}","442393529225369"),hn_0)</f>
        <v>ОВ</v>
      </c>
      <c r="B1146" s="7">
        <v>8000</v>
      </c>
      <c r="C1146" s="8" t="s">
        <v>137</v>
      </c>
      <c r="D1146" s="8" t="s">
        <v>33</v>
      </c>
      <c r="E1146" s="13" t="s">
        <v>626</v>
      </c>
    </row>
    <row r="1147" spans="1:5" ht="25.5" x14ac:dyDescent="0.2">
      <c r="A1147" s="6" t="str">
        <f>HYPERLINK(SUBSTITUTE(T(hl_0),"{0}","442394346011588"),hn_0)</f>
        <v>ОВ</v>
      </c>
      <c r="B1147" s="7">
        <v>20000</v>
      </c>
      <c r="C1147" s="8" t="s">
        <v>91</v>
      </c>
      <c r="D1147" s="8" t="s">
        <v>19</v>
      </c>
      <c r="E1147" s="13" t="s">
        <v>158</v>
      </c>
    </row>
    <row r="1148" spans="1:5" ht="25.5" x14ac:dyDescent="0.2">
      <c r="A1148" s="6" t="str">
        <f>HYPERLINK(SUBSTITUTE(T(hl_0),"{0}","442394286116307"),hn_0)</f>
        <v>ОВ</v>
      </c>
      <c r="B1148" s="7">
        <v>15000</v>
      </c>
      <c r="C1148" s="8" t="s">
        <v>105</v>
      </c>
      <c r="D1148" s="8" t="s">
        <v>39</v>
      </c>
      <c r="E1148" s="13" t="s">
        <v>115</v>
      </c>
    </row>
    <row r="1149" spans="1:5" ht="25.5" x14ac:dyDescent="0.2">
      <c r="A1149" s="6" t="str">
        <f>HYPERLINK(SUBSTITUTE(T(hl_0),"{0}","442391284014832"),hn_0)</f>
        <v>ОВ</v>
      </c>
      <c r="B1149" s="7">
        <v>23845</v>
      </c>
      <c r="C1149" s="8" t="s">
        <v>91</v>
      </c>
      <c r="D1149" s="8" t="s">
        <v>11</v>
      </c>
      <c r="E1149" s="13" t="s">
        <v>92</v>
      </c>
    </row>
    <row r="1150" spans="1:5" ht="25.5" x14ac:dyDescent="0.2">
      <c r="A1150" s="6" t="str">
        <f>HYPERLINK(SUBSTITUTE(T(hl_0),"{0}","442391470376466"),hn_0)</f>
        <v>ОВ</v>
      </c>
      <c r="B1150" s="7">
        <v>17000</v>
      </c>
      <c r="C1150" s="8" t="s">
        <v>18</v>
      </c>
      <c r="D1150" s="8" t="s">
        <v>19</v>
      </c>
      <c r="E1150" s="13" t="s">
        <v>20</v>
      </c>
    </row>
    <row r="1151" spans="1:5" ht="25.5" x14ac:dyDescent="0.2">
      <c r="A1151" s="6" t="str">
        <f>HYPERLINK(SUBSTITUTE(T(hl_0),"{0}","442391470338799"),hn_0)</f>
        <v>ОВ</v>
      </c>
      <c r="B1151" s="7">
        <v>22000</v>
      </c>
      <c r="C1151" s="8" t="s">
        <v>51</v>
      </c>
      <c r="D1151" s="8" t="s">
        <v>19</v>
      </c>
      <c r="E1151" s="13" t="s">
        <v>82</v>
      </c>
    </row>
    <row r="1152" spans="1:5" ht="25.5" x14ac:dyDescent="0.2">
      <c r="A1152" s="6" t="str">
        <f>HYPERLINK(SUBSTITUTE(T(hl_0),"{0}","442391283501303"),hn_0)</f>
        <v>ОВ</v>
      </c>
      <c r="B1152" s="7">
        <v>29060</v>
      </c>
      <c r="C1152" s="8" t="s">
        <v>51</v>
      </c>
      <c r="D1152" s="8" t="s">
        <v>11</v>
      </c>
      <c r="E1152" s="13" t="s">
        <v>52</v>
      </c>
    </row>
    <row r="1153" spans="1:5" ht="25.5" x14ac:dyDescent="0.2">
      <c r="A1153" s="6" t="str">
        <f>HYPERLINK(SUBSTITUTE(T(hl_0),"{0}","442391435748021"),hn_0)</f>
        <v>ОВ</v>
      </c>
      <c r="B1153" s="7">
        <v>16000</v>
      </c>
      <c r="C1153" s="8" t="s">
        <v>15</v>
      </c>
      <c r="D1153" s="8" t="s">
        <v>70</v>
      </c>
      <c r="E1153" s="13" t="s">
        <v>339</v>
      </c>
    </row>
    <row r="1154" spans="1:5" ht="25.5" x14ac:dyDescent="0.2">
      <c r="A1154" s="6" t="str">
        <f>HYPERLINK(SUBSTITUTE(T(hl_0),"{0}","442392721191651"),hn_0)</f>
        <v>ОВ</v>
      </c>
      <c r="B1154" s="7">
        <v>21800</v>
      </c>
      <c r="C1154" s="8" t="s">
        <v>10</v>
      </c>
      <c r="D1154" s="8" t="s">
        <v>39</v>
      </c>
      <c r="E1154" s="13" t="s">
        <v>94</v>
      </c>
    </row>
    <row r="1155" spans="1:5" ht="25.5" x14ac:dyDescent="0.2">
      <c r="A1155" s="6" t="str">
        <f>HYPERLINK(SUBSTITUTE(T(hl_0),"{0}","442389665645563"),hn_0)</f>
        <v>ОВ</v>
      </c>
      <c r="B1155" s="7">
        <v>20000</v>
      </c>
      <c r="C1155" s="8" t="s">
        <v>51</v>
      </c>
      <c r="D1155" s="8" t="s">
        <v>11</v>
      </c>
      <c r="E1155" s="13" t="s">
        <v>288</v>
      </c>
    </row>
    <row r="1156" spans="1:5" ht="25.5" x14ac:dyDescent="0.2">
      <c r="A1156" s="6" t="str">
        <f>HYPERLINK(SUBSTITUTE(T(hl_0),"{0}","442389303199301"),hn_0)</f>
        <v>ОВ</v>
      </c>
      <c r="B1156" s="7">
        <v>10000</v>
      </c>
      <c r="C1156" s="8" t="s">
        <v>627</v>
      </c>
      <c r="D1156" s="8" t="s">
        <v>321</v>
      </c>
      <c r="E1156" s="13" t="s">
        <v>628</v>
      </c>
    </row>
    <row r="1157" spans="1:5" ht="25.5" x14ac:dyDescent="0.2">
      <c r="A1157" s="6" t="str">
        <f>HYPERLINK(SUBSTITUTE(T(hl_0),"{0}","442388541502074"),hn_0)</f>
        <v>ОВ</v>
      </c>
      <c r="B1157" s="7">
        <v>16200</v>
      </c>
      <c r="C1157" s="8" t="s">
        <v>72</v>
      </c>
      <c r="D1157" s="8" t="s">
        <v>25</v>
      </c>
      <c r="E1157" s="13" t="s">
        <v>629</v>
      </c>
    </row>
    <row r="1158" spans="1:5" ht="25.5" x14ac:dyDescent="0.2">
      <c r="A1158" s="6" t="str">
        <f>HYPERLINK(SUBSTITUTE(T(hl_0),"{0}","442389453169909"),hn_0)</f>
        <v>ОВ</v>
      </c>
      <c r="B1158" s="7">
        <v>23000</v>
      </c>
      <c r="C1158" s="8" t="s">
        <v>122</v>
      </c>
      <c r="D1158" s="8" t="s">
        <v>33</v>
      </c>
      <c r="E1158" s="13" t="s">
        <v>388</v>
      </c>
    </row>
    <row r="1159" spans="1:5" ht="25.5" x14ac:dyDescent="0.2">
      <c r="A1159" s="6" t="str">
        <f>HYPERLINK(SUBSTITUTE(T(hl_0),"{0}","442389451907722"),hn_0)</f>
        <v>ОВ</v>
      </c>
      <c r="B1159" s="7">
        <v>25000</v>
      </c>
      <c r="C1159" s="8" t="s">
        <v>32</v>
      </c>
      <c r="D1159" s="8" t="s">
        <v>33</v>
      </c>
      <c r="E1159" s="13" t="s">
        <v>55</v>
      </c>
    </row>
    <row r="1160" spans="1:5" ht="25.5" x14ac:dyDescent="0.2">
      <c r="A1160" s="6" t="str">
        <f>HYPERLINK(SUBSTITUTE(T(hl_0),"{0}","442383195100995"),hn_0)</f>
        <v>ОВ</v>
      </c>
      <c r="B1160" s="7">
        <v>8000</v>
      </c>
      <c r="C1160" s="8" t="s">
        <v>630</v>
      </c>
      <c r="D1160" s="8" t="s">
        <v>11</v>
      </c>
      <c r="E1160" s="13" t="s">
        <v>631</v>
      </c>
    </row>
    <row r="1161" spans="1:5" ht="38.25" x14ac:dyDescent="0.2">
      <c r="A1161" s="6" t="str">
        <f>HYPERLINK(SUBSTITUTE(T(hl_0),"{0}","442395069079373"),hn_0)</f>
        <v>ОВ</v>
      </c>
      <c r="B1161" s="7">
        <v>20214</v>
      </c>
      <c r="C1161" s="8" t="s">
        <v>91</v>
      </c>
      <c r="D1161" s="8" t="s">
        <v>11</v>
      </c>
      <c r="E1161" s="13" t="s">
        <v>556</v>
      </c>
    </row>
    <row r="1162" spans="1:5" ht="25.5" x14ac:dyDescent="0.2">
      <c r="A1162" s="6" t="str">
        <f>HYPERLINK(SUBSTITUTE(T(hl_0),"{0}","442393321189030"),hn_0)</f>
        <v>ОВ</v>
      </c>
      <c r="B1162" s="7">
        <v>8140</v>
      </c>
      <c r="C1162" s="8" t="s">
        <v>76</v>
      </c>
      <c r="D1162" s="8" t="s">
        <v>11</v>
      </c>
      <c r="E1162" s="13" t="s">
        <v>632</v>
      </c>
    </row>
    <row r="1163" spans="1:5" ht="25.5" x14ac:dyDescent="0.2">
      <c r="A1163" s="6" t="str">
        <f>HYPERLINK(SUBSTITUTE(T(hl_0),"{0}","442393876814484"),hn_0)</f>
        <v>ОВ</v>
      </c>
      <c r="B1163" s="7">
        <v>21000</v>
      </c>
      <c r="C1163" s="8" t="s">
        <v>633</v>
      </c>
      <c r="D1163" s="8" t="s">
        <v>11</v>
      </c>
      <c r="E1163" s="13" t="s">
        <v>634</v>
      </c>
    </row>
    <row r="1164" spans="1:5" ht="25.5" x14ac:dyDescent="0.2">
      <c r="A1164" s="6" t="str">
        <f>HYPERLINK(SUBSTITUTE(T(hl_0),"{0}","442394710016039"),hn_0)</f>
        <v>ОВ</v>
      </c>
      <c r="B1164" s="7">
        <v>8000</v>
      </c>
      <c r="C1164" s="8" t="s">
        <v>635</v>
      </c>
      <c r="D1164" s="8" t="s">
        <v>77</v>
      </c>
      <c r="E1164" s="13" t="s">
        <v>636</v>
      </c>
    </row>
    <row r="1165" spans="1:5" ht="25.5" x14ac:dyDescent="0.2">
      <c r="A1165" s="6" t="str">
        <f>HYPERLINK(SUBSTITUTE(T(hl_0),"{0}","442391283501496"),hn_0)</f>
        <v>ОВ</v>
      </c>
      <c r="B1165" s="7">
        <v>29060</v>
      </c>
      <c r="C1165" s="8" t="s">
        <v>51</v>
      </c>
      <c r="D1165" s="8" t="s">
        <v>11</v>
      </c>
      <c r="E1165" s="13" t="s">
        <v>52</v>
      </c>
    </row>
    <row r="1166" spans="1:5" ht="25.5" x14ac:dyDescent="0.2">
      <c r="A1166" s="6" t="str">
        <f>HYPERLINK(SUBSTITUTE(T(hl_0),"{0}","442391284015286"),hn_0)</f>
        <v>ОВ</v>
      </c>
      <c r="B1166" s="7">
        <v>23845</v>
      </c>
      <c r="C1166" s="8" t="s">
        <v>91</v>
      </c>
      <c r="D1166" s="8" t="s">
        <v>11</v>
      </c>
      <c r="E1166" s="13" t="s">
        <v>92</v>
      </c>
    </row>
    <row r="1167" spans="1:5" ht="25.5" x14ac:dyDescent="0.2">
      <c r="A1167" s="6" t="str">
        <f>HYPERLINK(SUBSTITUTE(T(hl_0),"{0}","442391283323088"),hn_0)</f>
        <v>ОВ</v>
      </c>
      <c r="B1167" s="7">
        <v>39940</v>
      </c>
      <c r="C1167" s="8" t="s">
        <v>13</v>
      </c>
      <c r="D1167" s="8" t="s">
        <v>11</v>
      </c>
      <c r="E1167" s="13" t="s">
        <v>14</v>
      </c>
    </row>
    <row r="1168" spans="1:5" ht="25.5" x14ac:dyDescent="0.2">
      <c r="A1168" s="6" t="str">
        <f>HYPERLINK(SUBSTITUTE(T(hl_0),"{0}","442391435711014"),hn_0)</f>
        <v>ОВ</v>
      </c>
      <c r="B1168" s="7">
        <v>21000</v>
      </c>
      <c r="C1168" s="8" t="s">
        <v>503</v>
      </c>
      <c r="D1168" s="8" t="s">
        <v>70</v>
      </c>
      <c r="E1168" s="13" t="s">
        <v>637</v>
      </c>
    </row>
    <row r="1169" spans="1:5" ht="25.5" x14ac:dyDescent="0.2">
      <c r="A1169" s="6" t="str">
        <f>HYPERLINK(SUBSTITUTE(T(hl_0),"{0}","442391283326883"),hn_0)</f>
        <v>ОВ</v>
      </c>
      <c r="B1169" s="7">
        <v>39940</v>
      </c>
      <c r="C1169" s="8" t="s">
        <v>13</v>
      </c>
      <c r="D1169" s="8" t="s">
        <v>11</v>
      </c>
      <c r="E1169" s="13" t="s">
        <v>14</v>
      </c>
    </row>
    <row r="1170" spans="1:5" ht="25.5" x14ac:dyDescent="0.2">
      <c r="A1170" s="6" t="str">
        <f>HYPERLINK(SUBSTITUTE(T(hl_0),"{0}","442392720486557"),hn_0)</f>
        <v>ОВ</v>
      </c>
      <c r="B1170" s="7">
        <v>14700</v>
      </c>
      <c r="C1170" s="8" t="s">
        <v>74</v>
      </c>
      <c r="D1170" s="8" t="s">
        <v>39</v>
      </c>
      <c r="E1170" s="13" t="s">
        <v>75</v>
      </c>
    </row>
    <row r="1171" spans="1:5" ht="25.5" x14ac:dyDescent="0.2">
      <c r="A1171" s="6" t="str">
        <f>HYPERLINK(SUBSTITUTE(T(hl_0),"{0}","442387705372208"),hn_0)</f>
        <v>ОВ</v>
      </c>
      <c r="B1171" s="7">
        <v>8000</v>
      </c>
      <c r="C1171" s="8" t="s">
        <v>638</v>
      </c>
      <c r="D1171" s="8" t="s">
        <v>60</v>
      </c>
      <c r="E1171" s="13" t="s">
        <v>639</v>
      </c>
    </row>
    <row r="1172" spans="1:5" ht="25.5" x14ac:dyDescent="0.2">
      <c r="A1172" s="6" t="str">
        <f>HYPERLINK(SUBSTITUTE(T(hl_0),"{0}","442389800876685"),hn_0)</f>
        <v>ОВ</v>
      </c>
      <c r="B1172" s="7">
        <v>9100</v>
      </c>
      <c r="C1172" s="8" t="s">
        <v>76</v>
      </c>
      <c r="D1172" s="8" t="s">
        <v>77</v>
      </c>
      <c r="E1172" s="13" t="s">
        <v>78</v>
      </c>
    </row>
    <row r="1173" spans="1:5" ht="38.25" x14ac:dyDescent="0.2">
      <c r="A1173" s="6" t="str">
        <f>HYPERLINK(SUBSTITUTE(T(hl_0),"{0}","442388541433387"),hn_0)</f>
        <v>ОВ</v>
      </c>
      <c r="B1173" s="7">
        <v>15991.92</v>
      </c>
      <c r="C1173" s="8" t="s">
        <v>18</v>
      </c>
      <c r="D1173" s="8" t="s">
        <v>25</v>
      </c>
      <c r="E1173" s="13" t="s">
        <v>35</v>
      </c>
    </row>
    <row r="1174" spans="1:5" ht="38.25" x14ac:dyDescent="0.2">
      <c r="A1174" s="6" t="str">
        <f>HYPERLINK(SUBSTITUTE(T(hl_0),"{0}","442389663967426"),hn_0)</f>
        <v>ОВ</v>
      </c>
      <c r="B1174" s="7">
        <v>23000</v>
      </c>
      <c r="C1174" s="8" t="s">
        <v>122</v>
      </c>
      <c r="D1174" s="8" t="s">
        <v>33</v>
      </c>
      <c r="E1174" s="13" t="s">
        <v>254</v>
      </c>
    </row>
    <row r="1175" spans="1:5" ht="25.5" x14ac:dyDescent="0.2">
      <c r="A1175" s="6" t="str">
        <f>HYPERLINK(SUBSTITUTE(T(hl_0),"{0}","442389663873938"),hn_0)</f>
        <v>ОВ</v>
      </c>
      <c r="B1175" s="7">
        <v>13900</v>
      </c>
      <c r="C1175" s="8" t="s">
        <v>51</v>
      </c>
      <c r="D1175" s="8" t="s">
        <v>11</v>
      </c>
      <c r="E1175" s="13" t="s">
        <v>159</v>
      </c>
    </row>
    <row r="1176" spans="1:5" ht="51" x14ac:dyDescent="0.2">
      <c r="A1176" s="6" t="str">
        <f>HYPERLINK(SUBSTITUTE(T(hl_0),"{0}","442383576548780"),hn_0)</f>
        <v>ОВ</v>
      </c>
      <c r="B1176" s="7">
        <v>8000</v>
      </c>
      <c r="C1176" s="8" t="s">
        <v>640</v>
      </c>
      <c r="D1176" s="8" t="s">
        <v>11</v>
      </c>
      <c r="E1176" s="13" t="s">
        <v>641</v>
      </c>
    </row>
    <row r="1177" spans="1:5" ht="25.5" x14ac:dyDescent="0.2">
      <c r="A1177" s="6" t="str">
        <f>HYPERLINK(SUBSTITUTE(T(hl_0),"{0}","442395502840284"),hn_0)</f>
        <v>ОВ</v>
      </c>
      <c r="B1177" s="7">
        <v>10800</v>
      </c>
      <c r="C1177" s="8" t="s">
        <v>220</v>
      </c>
      <c r="D1177" s="8" t="s">
        <v>11</v>
      </c>
      <c r="E1177" s="13" t="s">
        <v>221</v>
      </c>
    </row>
    <row r="1178" spans="1:5" ht="25.5" x14ac:dyDescent="0.2">
      <c r="A1178" s="6" t="str">
        <f>HYPERLINK(SUBSTITUTE(T(hl_0),"{0}","442393905175649"),hn_0)</f>
        <v>ОВ</v>
      </c>
      <c r="B1178" s="7">
        <v>14000</v>
      </c>
      <c r="C1178" s="8" t="s">
        <v>76</v>
      </c>
      <c r="D1178" s="8" t="s">
        <v>11</v>
      </c>
      <c r="E1178" s="13" t="s">
        <v>88</v>
      </c>
    </row>
    <row r="1179" spans="1:5" ht="25.5" x14ac:dyDescent="0.2">
      <c r="A1179" s="6" t="str">
        <f>HYPERLINK(SUBSTITUTE(T(hl_0),"{0}","442393905089545"),hn_0)</f>
        <v>ОВ</v>
      </c>
      <c r="B1179" s="7">
        <v>14000</v>
      </c>
      <c r="C1179" s="8" t="s">
        <v>194</v>
      </c>
      <c r="D1179" s="8" t="s">
        <v>11</v>
      </c>
      <c r="E1179" s="13" t="s">
        <v>419</v>
      </c>
    </row>
    <row r="1180" spans="1:5" ht="76.5" x14ac:dyDescent="0.2">
      <c r="A1180" s="6" t="str">
        <f>HYPERLINK(SUBSTITUTE(T(hl_0),"{0}","442393653400616"),hn_0)</f>
        <v>ОВ</v>
      </c>
      <c r="B1180" s="7">
        <v>14000</v>
      </c>
      <c r="C1180" s="8" t="s">
        <v>41</v>
      </c>
      <c r="D1180" s="8" t="s">
        <v>11</v>
      </c>
      <c r="E1180" s="13" t="s">
        <v>42</v>
      </c>
    </row>
    <row r="1181" spans="1:5" ht="25.5" x14ac:dyDescent="0.2">
      <c r="A1181" s="6" t="str">
        <f>HYPERLINK(SUBSTITUTE(T(hl_0),"{0}","442395157595479"),hn_0)</f>
        <v>ОВ</v>
      </c>
      <c r="B1181" s="7">
        <v>10000</v>
      </c>
      <c r="C1181" s="8" t="s">
        <v>393</v>
      </c>
      <c r="D1181" s="8" t="s">
        <v>85</v>
      </c>
      <c r="E1181" s="13" t="s">
        <v>642</v>
      </c>
    </row>
    <row r="1182" spans="1:5" ht="25.5" x14ac:dyDescent="0.2">
      <c r="A1182" s="6" t="str">
        <f>HYPERLINK(SUBSTITUTE(T(hl_0),"{0}","442393119256103"),hn_0)</f>
        <v>ОВ</v>
      </c>
      <c r="B1182" s="7">
        <v>20000</v>
      </c>
      <c r="C1182" s="8" t="s">
        <v>643</v>
      </c>
      <c r="D1182" s="8" t="s">
        <v>228</v>
      </c>
      <c r="E1182" s="13" t="s">
        <v>644</v>
      </c>
    </row>
    <row r="1183" spans="1:5" ht="25.5" x14ac:dyDescent="0.2">
      <c r="A1183" s="6" t="str">
        <f>HYPERLINK(SUBSTITUTE(T(hl_0),"{0}","442392544681964"),hn_0)</f>
        <v>ОВ</v>
      </c>
      <c r="B1183" s="7">
        <v>8900</v>
      </c>
      <c r="C1183" s="8" t="s">
        <v>137</v>
      </c>
      <c r="D1183" s="8" t="s">
        <v>11</v>
      </c>
      <c r="E1183" s="13" t="s">
        <v>608</v>
      </c>
    </row>
    <row r="1184" spans="1:5" ht="25.5" x14ac:dyDescent="0.2">
      <c r="A1184" s="6" t="str">
        <f>HYPERLINK(SUBSTITUTE(T(hl_0),"{0}","442391284078275"),hn_0)</f>
        <v>ОВ</v>
      </c>
      <c r="B1184" s="7">
        <v>23845</v>
      </c>
      <c r="C1184" s="8" t="s">
        <v>23</v>
      </c>
      <c r="D1184" s="8" t="s">
        <v>11</v>
      </c>
      <c r="E1184" s="13" t="s">
        <v>24</v>
      </c>
    </row>
    <row r="1185" spans="1:5" ht="25.5" x14ac:dyDescent="0.2">
      <c r="A1185" s="6" t="str">
        <f>HYPERLINK(SUBSTITUTE(T(hl_0),"{0}","442392407052771"),hn_0)</f>
        <v>ОВ</v>
      </c>
      <c r="B1185" s="7">
        <v>30000</v>
      </c>
      <c r="C1185" s="8" t="s">
        <v>76</v>
      </c>
      <c r="D1185" s="8" t="s">
        <v>77</v>
      </c>
      <c r="E1185" s="13" t="s">
        <v>645</v>
      </c>
    </row>
    <row r="1186" spans="1:5" ht="25.5" x14ac:dyDescent="0.2">
      <c r="A1186" s="6" t="str">
        <f>HYPERLINK(SUBSTITUTE(T(hl_0),"{0}","442392720462628"),hn_0)</f>
        <v>ОВ</v>
      </c>
      <c r="B1186" s="7">
        <v>16400</v>
      </c>
      <c r="C1186" s="8" t="s">
        <v>97</v>
      </c>
      <c r="D1186" s="8" t="s">
        <v>39</v>
      </c>
      <c r="E1186" s="13" t="s">
        <v>98</v>
      </c>
    </row>
    <row r="1187" spans="1:5" ht="25.5" x14ac:dyDescent="0.2">
      <c r="A1187" s="6" t="str">
        <f>HYPERLINK(SUBSTITUTE(T(hl_0),"{0}","442391283499253"),hn_0)</f>
        <v>ОВ</v>
      </c>
      <c r="B1187" s="7">
        <v>29060</v>
      </c>
      <c r="C1187" s="8" t="s">
        <v>51</v>
      </c>
      <c r="D1187" s="8" t="s">
        <v>11</v>
      </c>
      <c r="E1187" s="13" t="s">
        <v>52</v>
      </c>
    </row>
    <row r="1188" spans="1:5" ht="25.5" x14ac:dyDescent="0.2">
      <c r="A1188" s="6" t="str">
        <f>HYPERLINK(SUBSTITUTE(T(hl_0),"{0}","442391284449305"),hn_0)</f>
        <v>ОВ</v>
      </c>
      <c r="B1188" s="7">
        <v>27850</v>
      </c>
      <c r="C1188" s="8" t="s">
        <v>47</v>
      </c>
      <c r="D1188" s="8" t="s">
        <v>11</v>
      </c>
      <c r="E1188" s="13" t="s">
        <v>48</v>
      </c>
    </row>
    <row r="1189" spans="1:5" ht="25.5" x14ac:dyDescent="0.2">
      <c r="A1189" s="6" t="str">
        <f>HYPERLINK(SUBSTITUTE(T(hl_0),"{0}","442391435688227"),hn_0)</f>
        <v>ОВ</v>
      </c>
      <c r="B1189" s="7">
        <v>20160</v>
      </c>
      <c r="C1189" s="8" t="s">
        <v>69</v>
      </c>
      <c r="D1189" s="8" t="s">
        <v>70</v>
      </c>
      <c r="E1189" s="13" t="s">
        <v>71</v>
      </c>
    </row>
    <row r="1190" spans="1:5" ht="25.5" x14ac:dyDescent="0.2">
      <c r="A1190" s="6" t="str">
        <f>HYPERLINK(SUBSTITUTE(T(hl_0),"{0}","442390287859487"),hn_0)</f>
        <v>ОВ</v>
      </c>
      <c r="B1190" s="7">
        <v>20000</v>
      </c>
      <c r="C1190" s="8" t="s">
        <v>27</v>
      </c>
      <c r="D1190" s="8" t="s">
        <v>11</v>
      </c>
      <c r="E1190" s="13" t="s">
        <v>28</v>
      </c>
    </row>
    <row r="1191" spans="1:5" ht="25.5" x14ac:dyDescent="0.2">
      <c r="A1191" s="6" t="str">
        <f>HYPERLINK(SUBSTITUTE(T(hl_0),"{0}","442391470306799"),hn_0)</f>
        <v>ОВ</v>
      </c>
      <c r="B1191" s="7">
        <v>25000</v>
      </c>
      <c r="C1191" s="8" t="s">
        <v>13</v>
      </c>
      <c r="D1191" s="8" t="s">
        <v>19</v>
      </c>
      <c r="E1191" s="13" t="s">
        <v>93</v>
      </c>
    </row>
    <row r="1192" spans="1:5" ht="25.5" x14ac:dyDescent="0.2">
      <c r="A1192" s="6" t="str">
        <f>HYPERLINK(SUBSTITUTE(T(hl_0),"{0}","442391750848027"),hn_0)</f>
        <v>ОВ</v>
      </c>
      <c r="B1192" s="7">
        <v>8000</v>
      </c>
      <c r="C1192" s="8" t="s">
        <v>236</v>
      </c>
      <c r="D1192" s="8" t="s">
        <v>646</v>
      </c>
      <c r="E1192" s="13" t="s">
        <v>470</v>
      </c>
    </row>
    <row r="1193" spans="1:5" ht="25.5" x14ac:dyDescent="0.2">
      <c r="A1193" s="6" t="str">
        <f>HYPERLINK(SUBSTITUTE(T(hl_0),"{0}","442391284077675"),hn_0)</f>
        <v>ОВ</v>
      </c>
      <c r="B1193" s="7">
        <v>23845</v>
      </c>
      <c r="C1193" s="8" t="s">
        <v>23</v>
      </c>
      <c r="D1193" s="8" t="s">
        <v>11</v>
      </c>
      <c r="E1193" s="13" t="s">
        <v>24</v>
      </c>
    </row>
    <row r="1194" spans="1:5" ht="25.5" x14ac:dyDescent="0.2">
      <c r="A1194" s="6" t="str">
        <f>HYPERLINK(SUBSTITUTE(T(hl_0),"{0}","442392384401405"),hn_0)</f>
        <v>ОВ</v>
      </c>
      <c r="B1194" s="7">
        <v>8000</v>
      </c>
      <c r="C1194" s="8" t="s">
        <v>105</v>
      </c>
      <c r="D1194" s="8" t="s">
        <v>25</v>
      </c>
      <c r="E1194" s="13" t="s">
        <v>557</v>
      </c>
    </row>
    <row r="1195" spans="1:5" ht="25.5" x14ac:dyDescent="0.2">
      <c r="A1195" s="6" t="str">
        <f>HYPERLINK(SUBSTITUTE(T(hl_0),"{0}","442390109031631"),hn_0)</f>
        <v>ОВ</v>
      </c>
      <c r="B1195" s="7">
        <v>8000</v>
      </c>
      <c r="C1195" s="8" t="s">
        <v>272</v>
      </c>
      <c r="D1195" s="8" t="s">
        <v>11</v>
      </c>
      <c r="E1195" s="13" t="s">
        <v>273</v>
      </c>
    </row>
    <row r="1196" spans="1:5" ht="25.5" x14ac:dyDescent="0.2">
      <c r="A1196" s="6" t="str">
        <f>HYPERLINK(SUBSTITUTE(T(hl_0),"{0}","442388541478021"),hn_0)</f>
        <v>ОВ</v>
      </c>
      <c r="B1196" s="7">
        <v>19578</v>
      </c>
      <c r="C1196" s="8" t="s">
        <v>286</v>
      </c>
      <c r="D1196" s="8" t="s">
        <v>25</v>
      </c>
      <c r="E1196" s="13" t="s">
        <v>287</v>
      </c>
    </row>
    <row r="1197" spans="1:5" ht="38.25" x14ac:dyDescent="0.2">
      <c r="A1197" s="6" t="str">
        <f>HYPERLINK(SUBSTITUTE(T(hl_0),"{0}","442388541390629"),hn_0)</f>
        <v>ОВ</v>
      </c>
      <c r="B1197" s="7">
        <v>15991.92</v>
      </c>
      <c r="C1197" s="8" t="s">
        <v>18</v>
      </c>
      <c r="D1197" s="8" t="s">
        <v>25</v>
      </c>
      <c r="E1197" s="13" t="s">
        <v>35</v>
      </c>
    </row>
    <row r="1198" spans="1:5" ht="25.5" x14ac:dyDescent="0.2">
      <c r="A1198" s="6" t="str">
        <f>HYPERLINK(SUBSTITUTE(T(hl_0),"{0}","442389664828965"),hn_0)</f>
        <v>ОВ</v>
      </c>
      <c r="B1198" s="7">
        <v>22000</v>
      </c>
      <c r="C1198" s="8" t="s">
        <v>51</v>
      </c>
      <c r="D1198" s="8" t="s">
        <v>19</v>
      </c>
      <c r="E1198" s="13" t="s">
        <v>82</v>
      </c>
    </row>
    <row r="1199" spans="1:5" ht="38.25" x14ac:dyDescent="0.2">
      <c r="A1199" s="6" t="str">
        <f>HYPERLINK(SUBSTITUTE(T(hl_0),"{0}","442388541433953"),hn_0)</f>
        <v>ОВ</v>
      </c>
      <c r="B1199" s="7">
        <v>15991.92</v>
      </c>
      <c r="C1199" s="8" t="s">
        <v>51</v>
      </c>
      <c r="D1199" s="8" t="s">
        <v>25</v>
      </c>
      <c r="E1199" s="13" t="s">
        <v>56</v>
      </c>
    </row>
    <row r="1200" spans="1:5" ht="25.5" x14ac:dyDescent="0.2">
      <c r="A1200" s="6" t="str">
        <f>HYPERLINK(SUBSTITUTE(T(hl_0),"{0}","442386197279890"),hn_0)</f>
        <v>ОВ</v>
      </c>
      <c r="B1200" s="7">
        <v>8000</v>
      </c>
      <c r="C1200" s="8" t="s">
        <v>647</v>
      </c>
      <c r="D1200" s="8" t="s">
        <v>11</v>
      </c>
      <c r="E1200" s="13" t="s">
        <v>648</v>
      </c>
    </row>
    <row r="1201" spans="1:5" ht="25.5" x14ac:dyDescent="0.2">
      <c r="A1201" s="6" t="str">
        <f>HYPERLINK(SUBSTITUTE(T(hl_0),"{0}","442395502988790"),hn_0)</f>
        <v>ОВ</v>
      </c>
      <c r="B1201" s="7">
        <v>8800</v>
      </c>
      <c r="C1201" s="8" t="s">
        <v>250</v>
      </c>
      <c r="D1201" s="8" t="s">
        <v>11</v>
      </c>
      <c r="E1201" s="13" t="s">
        <v>566</v>
      </c>
    </row>
    <row r="1202" spans="1:5" ht="25.5" x14ac:dyDescent="0.2">
      <c r="A1202" s="6" t="str">
        <f>HYPERLINK(SUBSTITUTE(T(hl_0),"{0}","442394681010099"),hn_0)</f>
        <v>ОВ</v>
      </c>
      <c r="B1202" s="7">
        <v>14000</v>
      </c>
      <c r="C1202" s="8" t="s">
        <v>194</v>
      </c>
      <c r="D1202" s="8" t="s">
        <v>60</v>
      </c>
      <c r="E1202" s="13" t="s">
        <v>196</v>
      </c>
    </row>
    <row r="1203" spans="1:5" ht="25.5" x14ac:dyDescent="0.2">
      <c r="A1203" s="6" t="str">
        <f>HYPERLINK(SUBSTITUTE(T(hl_0),"{0}","442393905135255"),hn_0)</f>
        <v>ОВ</v>
      </c>
      <c r="B1203" s="7">
        <v>8667</v>
      </c>
      <c r="C1203" s="8" t="s">
        <v>15</v>
      </c>
      <c r="D1203" s="8" t="s">
        <v>11</v>
      </c>
      <c r="E1203" s="13" t="s">
        <v>155</v>
      </c>
    </row>
    <row r="1204" spans="1:5" ht="25.5" x14ac:dyDescent="0.2">
      <c r="A1204" s="6" t="str">
        <f>HYPERLINK(SUBSTITUTE(T(hl_0),"{0}","442390383753220"),hn_0)</f>
        <v>ОВ</v>
      </c>
      <c r="B1204" s="7">
        <v>25000</v>
      </c>
      <c r="C1204" s="8" t="s">
        <v>102</v>
      </c>
      <c r="D1204" s="8" t="s">
        <v>19</v>
      </c>
      <c r="E1204" s="13" t="s">
        <v>198</v>
      </c>
    </row>
    <row r="1205" spans="1:5" ht="25.5" x14ac:dyDescent="0.2">
      <c r="A1205" s="6" t="str">
        <f>HYPERLINK(SUBSTITUTE(T(hl_0),"{0}","442390729875027"),hn_0)</f>
        <v>ОВ</v>
      </c>
      <c r="B1205" s="7">
        <v>13000</v>
      </c>
      <c r="C1205" s="8" t="s">
        <v>160</v>
      </c>
      <c r="D1205" s="8" t="s">
        <v>77</v>
      </c>
      <c r="E1205" s="13" t="s">
        <v>649</v>
      </c>
    </row>
    <row r="1206" spans="1:5" ht="25.5" x14ac:dyDescent="0.2">
      <c r="A1206" s="6" t="str">
        <f>HYPERLINK(SUBSTITUTE(T(hl_0),"{0}","442391284449265"),hn_0)</f>
        <v>ОВ</v>
      </c>
      <c r="B1206" s="7">
        <v>27850</v>
      </c>
      <c r="C1206" s="8" t="s">
        <v>47</v>
      </c>
      <c r="D1206" s="8" t="s">
        <v>11</v>
      </c>
      <c r="E1206" s="13" t="s">
        <v>48</v>
      </c>
    </row>
    <row r="1207" spans="1:5" ht="25.5" x14ac:dyDescent="0.2">
      <c r="A1207" s="6" t="str">
        <f>HYPERLINK(SUBSTITUTE(T(hl_0),"{0}","442391284077986"),hn_0)</f>
        <v>ОВ</v>
      </c>
      <c r="B1207" s="7">
        <v>23845</v>
      </c>
      <c r="C1207" s="8" t="s">
        <v>23</v>
      </c>
      <c r="D1207" s="8" t="s">
        <v>11</v>
      </c>
      <c r="E1207" s="13" t="s">
        <v>24</v>
      </c>
    </row>
    <row r="1208" spans="1:5" ht="25.5" x14ac:dyDescent="0.2">
      <c r="A1208" s="6" t="str">
        <f>HYPERLINK(SUBSTITUTE(T(hl_0),"{0}","442391284078048"),hn_0)</f>
        <v>ОВ</v>
      </c>
      <c r="B1208" s="7">
        <v>23845</v>
      </c>
      <c r="C1208" s="8" t="s">
        <v>23</v>
      </c>
      <c r="D1208" s="8" t="s">
        <v>11</v>
      </c>
      <c r="E1208" s="13" t="s">
        <v>24</v>
      </c>
    </row>
    <row r="1209" spans="1:5" ht="25.5" x14ac:dyDescent="0.2">
      <c r="A1209" s="6" t="str">
        <f>HYPERLINK(SUBSTITUTE(T(hl_0),"{0}","442391470384468"),hn_0)</f>
        <v>ОВ</v>
      </c>
      <c r="B1209" s="7">
        <v>15000</v>
      </c>
      <c r="C1209" s="8" t="s">
        <v>131</v>
      </c>
      <c r="D1209" s="8" t="s">
        <v>19</v>
      </c>
      <c r="E1209" s="13" t="s">
        <v>132</v>
      </c>
    </row>
    <row r="1210" spans="1:5" ht="25.5" x14ac:dyDescent="0.2">
      <c r="A1210" s="6" t="str">
        <f>HYPERLINK(SUBSTITUTE(T(hl_0),"{0}","442391470338773"),hn_0)</f>
        <v>ОВ</v>
      </c>
      <c r="B1210" s="7">
        <v>22000</v>
      </c>
      <c r="C1210" s="8" t="s">
        <v>51</v>
      </c>
      <c r="D1210" s="8" t="s">
        <v>19</v>
      </c>
      <c r="E1210" s="13" t="s">
        <v>82</v>
      </c>
    </row>
    <row r="1211" spans="1:5" ht="25.5" x14ac:dyDescent="0.2">
      <c r="A1211" s="6" t="str">
        <f>HYPERLINK(SUBSTITUTE(T(hl_0),"{0}","442391470307000"),hn_0)</f>
        <v>ОВ</v>
      </c>
      <c r="B1211" s="7">
        <v>25000</v>
      </c>
      <c r="C1211" s="8" t="s">
        <v>13</v>
      </c>
      <c r="D1211" s="8" t="s">
        <v>19</v>
      </c>
      <c r="E1211" s="13" t="s">
        <v>93</v>
      </c>
    </row>
    <row r="1212" spans="1:5" ht="38.25" x14ac:dyDescent="0.2">
      <c r="A1212" s="6" t="str">
        <f>HYPERLINK(SUBSTITUTE(T(hl_0),"{0}","442392720982538"),hn_0)</f>
        <v>ОВ</v>
      </c>
      <c r="B1212" s="7">
        <v>15000</v>
      </c>
      <c r="C1212" s="8" t="s">
        <v>105</v>
      </c>
      <c r="D1212" s="8" t="s">
        <v>67</v>
      </c>
      <c r="E1212" s="13" t="s">
        <v>586</v>
      </c>
    </row>
    <row r="1213" spans="1:5" ht="25.5" x14ac:dyDescent="0.2">
      <c r="A1213" s="6" t="str">
        <f>HYPERLINK(SUBSTITUTE(T(hl_0),"{0}","442391284078396"),hn_0)</f>
        <v>ОВ</v>
      </c>
      <c r="B1213" s="7">
        <v>23845</v>
      </c>
      <c r="C1213" s="8" t="s">
        <v>23</v>
      </c>
      <c r="D1213" s="8" t="s">
        <v>11</v>
      </c>
      <c r="E1213" s="13" t="s">
        <v>24</v>
      </c>
    </row>
    <row r="1214" spans="1:5" ht="25.5" x14ac:dyDescent="0.2">
      <c r="A1214" s="6" t="str">
        <f>HYPERLINK(SUBSTITUTE(T(hl_0),"{0}","442391283500220"),hn_0)</f>
        <v>ОВ</v>
      </c>
      <c r="B1214" s="7">
        <v>29060</v>
      </c>
      <c r="C1214" s="8" t="s">
        <v>51</v>
      </c>
      <c r="D1214" s="8" t="s">
        <v>11</v>
      </c>
      <c r="E1214" s="13" t="s">
        <v>52</v>
      </c>
    </row>
    <row r="1215" spans="1:5" ht="38.25" x14ac:dyDescent="0.2">
      <c r="A1215" s="6" t="str">
        <f>HYPERLINK(SUBSTITUTE(T(hl_0),"{0}","442390987382259"),hn_0)</f>
        <v>ОВ</v>
      </c>
      <c r="B1215" s="7">
        <v>14300</v>
      </c>
      <c r="C1215" s="8" t="s">
        <v>29</v>
      </c>
      <c r="D1215" s="8" t="s">
        <v>30</v>
      </c>
      <c r="E1215" s="13" t="s">
        <v>650</v>
      </c>
    </row>
    <row r="1216" spans="1:5" ht="51" x14ac:dyDescent="0.2">
      <c r="A1216" s="6" t="str">
        <f>HYPERLINK(SUBSTITUTE(T(hl_0),"{0}","442389665575919"),hn_0)</f>
        <v>ОВ</v>
      </c>
      <c r="B1216" s="7">
        <v>25000</v>
      </c>
      <c r="C1216" s="8" t="s">
        <v>32</v>
      </c>
      <c r="D1216" s="8" t="s">
        <v>33</v>
      </c>
      <c r="E1216" s="13" t="s">
        <v>34</v>
      </c>
    </row>
    <row r="1217" spans="1:5" ht="25.5" x14ac:dyDescent="0.2">
      <c r="A1217" s="6" t="str">
        <f>HYPERLINK(SUBSTITUTE(T(hl_0),"{0}","442388539608560"),hn_0)</f>
        <v>ОВ</v>
      </c>
      <c r="B1217" s="7">
        <v>20000</v>
      </c>
      <c r="C1217" s="8" t="s">
        <v>89</v>
      </c>
      <c r="D1217" s="8" t="s">
        <v>334</v>
      </c>
      <c r="E1217" s="13" t="s">
        <v>651</v>
      </c>
    </row>
    <row r="1218" spans="1:5" ht="25.5" x14ac:dyDescent="0.2">
      <c r="A1218" s="6" t="str">
        <f>HYPERLINK(SUBSTITUTE(T(hl_0),"{0}","442385581495442"),hn_0)</f>
        <v>ОВ</v>
      </c>
      <c r="B1218" s="7">
        <v>8200</v>
      </c>
      <c r="C1218" s="8" t="s">
        <v>105</v>
      </c>
      <c r="D1218" s="8" t="s">
        <v>11</v>
      </c>
      <c r="E1218" s="13" t="s">
        <v>652</v>
      </c>
    </row>
    <row r="1219" spans="1:5" ht="25.5" x14ac:dyDescent="0.2">
      <c r="A1219" s="6" t="str">
        <f>HYPERLINK(SUBSTITUTE(T(hl_0),"{0}","442384895996671"),hn_0)</f>
        <v>ОВ</v>
      </c>
      <c r="B1219" s="7">
        <v>17000</v>
      </c>
      <c r="C1219" s="8" t="s">
        <v>191</v>
      </c>
      <c r="D1219" s="8" t="s">
        <v>192</v>
      </c>
      <c r="E1219" s="13" t="s">
        <v>193</v>
      </c>
    </row>
    <row r="1220" spans="1:5" ht="25.5" x14ac:dyDescent="0.2">
      <c r="A1220" s="6" t="str">
        <f>HYPERLINK(SUBSTITUTE(T(hl_0),"{0}","442384237877910"),hn_0)</f>
        <v>ОВ</v>
      </c>
      <c r="B1220" s="7">
        <v>8400</v>
      </c>
      <c r="C1220" s="8" t="s">
        <v>137</v>
      </c>
      <c r="D1220" s="8" t="s">
        <v>11</v>
      </c>
      <c r="E1220" s="13" t="s">
        <v>653</v>
      </c>
    </row>
    <row r="1221" spans="1:5" ht="25.5" x14ac:dyDescent="0.2">
      <c r="A1221" s="6" t="str">
        <f>HYPERLINK(SUBSTITUTE(T(hl_0),"{0}","442395503227174"),hn_0)</f>
        <v>ОВ</v>
      </c>
      <c r="B1221" s="7">
        <v>10192</v>
      </c>
      <c r="C1221" s="8" t="s">
        <v>194</v>
      </c>
      <c r="D1221" s="8" t="s">
        <v>11</v>
      </c>
      <c r="E1221" s="13" t="s">
        <v>195</v>
      </c>
    </row>
    <row r="1222" spans="1:5" ht="25.5" x14ac:dyDescent="0.2">
      <c r="A1222" s="6" t="str">
        <f>HYPERLINK(SUBSTITUTE(T(hl_0),"{0}","442393905145589"),hn_0)</f>
        <v>ОВ</v>
      </c>
      <c r="B1222" s="7">
        <v>8667</v>
      </c>
      <c r="C1222" s="8" t="s">
        <v>122</v>
      </c>
      <c r="D1222" s="8" t="s">
        <v>11</v>
      </c>
      <c r="E1222" s="13" t="s">
        <v>498</v>
      </c>
    </row>
  </sheetData>
  <autoFilter ref="B1:E1223"/>
  <pageMargins left="0.75" right="0.75" top="1" bottom="1" header="0.5" footer="0.5"/>
  <pageSetup paperSize="9" fitToHeight="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D3"/>
  <sheetViews>
    <sheetView zoomScaleNormal="100" workbookViewId="0"/>
  </sheetViews>
  <sheetFormatPr defaultRowHeight="12.75" x14ac:dyDescent="0.2"/>
  <cols>
    <col min="1" max="1" width="40.85546875" bestFit="1" customWidth="1"/>
    <col min="2" max="2" width="12.28515625" bestFit="1" customWidth="1"/>
    <col min="3" max="3" width="101.42578125" bestFit="1" customWidth="1"/>
    <col min="4" max="4" width="16.140625" bestFit="1" customWidth="1"/>
  </cols>
  <sheetData>
    <row r="1" spans="1:4" x14ac:dyDescent="0.2">
      <c r="A1" s="1" t="s">
        <v>1</v>
      </c>
      <c r="B1" s="1" t="s">
        <v>0</v>
      </c>
      <c r="C1" s="1" t="s">
        <v>2</v>
      </c>
      <c r="D1" s="1" t="s">
        <v>3</v>
      </c>
    </row>
    <row r="2" spans="1:4" ht="25.5" x14ac:dyDescent="0.2">
      <c r="A2" s="9" t="s">
        <v>654</v>
      </c>
      <c r="B2" s="10" t="s">
        <v>655</v>
      </c>
      <c r="C2" s="8" t="s">
        <v>656</v>
      </c>
    </row>
    <row r="3" spans="1:4" x14ac:dyDescent="0.2">
      <c r="A3" s="9" t="s">
        <v>657</v>
      </c>
      <c r="B3" s="10" t="s">
        <v>655</v>
      </c>
      <c r="C3" s="8" t="s">
        <v>658</v>
      </c>
    </row>
  </sheetData>
  <pageMargins left="0.98425196850393704" right="0.39370078740157483" top="0.59055118110236227"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4</vt:i4>
      </vt:variant>
    </vt:vector>
  </HeadingPairs>
  <TitlesOfParts>
    <vt:vector size="6" baseType="lpstr">
      <vt:lpstr>Відібрано записів - 1221</vt:lpstr>
      <vt:lpstr>Фільтри</vt:lpstr>
      <vt:lpstr>_firstRow</vt:lpstr>
      <vt:lpstr>_lastColumn</vt:lpstr>
      <vt:lpstr>hl_0</vt:lpstr>
      <vt:lpstr>hn_0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www</cp:lastModifiedBy>
  <dcterms:created xsi:type="dcterms:W3CDTF">2025-09-10T06:13:53Z</dcterms:created>
  <dcterms:modified xsi:type="dcterms:W3CDTF">2025-09-10T08:00:32Z</dcterms:modified>
</cp:coreProperties>
</file>